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31" activeTab="31"/>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state="hidden" r:id="rId26"/>
    <sheet name="6.1 Investissements" sheetId="34" state="hidden" r:id="rId27"/>
    <sheet name="6.2 Investissements par commune" sheetId="53" state="hidden" r:id="rId28"/>
    <sheet name="7, Définition des indicateurs" sheetId="54" state="hidden" r:id="rId29"/>
    <sheet name="Base de données indicateurs1" sheetId="42" state="hidden" r:id="rId30"/>
    <sheet name="Endett. net + degré d'auto." sheetId="35" state="hidden" r:id="rId31"/>
    <sheet name="7,4 Dettes brut sur revenus" sheetId="36"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28" i="36"/>
  <c r="G28" i="36"/>
  <c r="H28" i="36"/>
  <c r="I28" i="36"/>
  <c r="J28" i="36"/>
  <c r="K28" i="36"/>
  <c r="L28" i="36"/>
  <c r="M28" i="36"/>
  <c r="N28" i="36"/>
  <c r="O28" i="36"/>
  <c r="P28" i="36"/>
  <c r="Q28" i="36"/>
  <c r="R28" i="36"/>
  <c r="S28" i="36"/>
  <c r="T28" i="36"/>
  <c r="U28" i="36"/>
  <c r="V28" i="36"/>
  <c r="W28" i="36"/>
  <c r="X28" i="36"/>
  <c r="Y28" i="36"/>
  <c r="Z28" i="36"/>
  <c r="AA28" i="36"/>
  <c r="AB28" i="36"/>
  <c r="AC28" i="36"/>
  <c r="AD28" i="36"/>
  <c r="AE28" i="36"/>
  <c r="AF28" i="36"/>
  <c r="AG28" i="36"/>
  <c r="AH28" i="36"/>
  <c r="AI28" i="36"/>
  <c r="AJ28" i="36"/>
  <c r="AK28" i="36"/>
  <c r="AL28" i="36"/>
  <c r="AM28" i="36"/>
  <c r="AN28" i="36"/>
  <c r="AO28" i="36"/>
  <c r="AP28" i="36"/>
  <c r="AQ28" i="36"/>
  <c r="AR28" i="36"/>
  <c r="AS28" i="36"/>
  <c r="AT28" i="36"/>
  <c r="AU28" i="36"/>
  <c r="AV28" i="36"/>
  <c r="AW28" i="36"/>
  <c r="AX28" i="36"/>
  <c r="AY28" i="36"/>
  <c r="AZ28" i="36"/>
  <c r="BA28" i="36"/>
  <c r="BB28" i="36"/>
  <c r="BC28" i="36"/>
  <c r="BD28" i="36"/>
  <c r="BE28" i="36"/>
  <c r="F27" i="36"/>
  <c r="G27" i="36"/>
  <c r="H27" i="36"/>
  <c r="I27" i="36"/>
  <c r="J27" i="36"/>
  <c r="K27" i="36"/>
  <c r="L27" i="36"/>
  <c r="M27" i="36"/>
  <c r="N27" i="36"/>
  <c r="O27" i="36"/>
  <c r="P27" i="36"/>
  <c r="Q27" i="36"/>
  <c r="R27" i="36"/>
  <c r="S27" i="36"/>
  <c r="T27" i="36"/>
  <c r="U27" i="36"/>
  <c r="V27" i="36"/>
  <c r="W27" i="36"/>
  <c r="X27" i="36"/>
  <c r="Y27" i="36"/>
  <c r="Z27" i="36"/>
  <c r="AA27" i="36"/>
  <c r="AB27" i="36"/>
  <c r="AC27" i="36"/>
  <c r="AD27" i="36"/>
  <c r="AE27" i="36"/>
  <c r="AF27" i="36"/>
  <c r="AG27" i="36"/>
  <c r="AH27" i="36"/>
  <c r="AI27" i="36"/>
  <c r="AJ27" i="36"/>
  <c r="AK27" i="36"/>
  <c r="AL27" i="36"/>
  <c r="AM27" i="36"/>
  <c r="AN27" i="36"/>
  <c r="AO27" i="36"/>
  <c r="AP27" i="36"/>
  <c r="AQ27" i="36"/>
  <c r="AR27" i="36"/>
  <c r="AS27" i="36"/>
  <c r="AT27" i="36"/>
  <c r="AU27" i="36"/>
  <c r="AV27" i="36"/>
  <c r="AW27" i="36"/>
  <c r="AX27" i="36"/>
  <c r="AY27" i="36"/>
  <c r="AZ27" i="36"/>
  <c r="BA27" i="36"/>
  <c r="BB27" i="36"/>
  <c r="BC27" i="36"/>
  <c r="BD27" i="36"/>
  <c r="BE27" i="36"/>
  <c r="F26" i="36"/>
  <c r="G26" i="36"/>
  <c r="H26" i="36"/>
  <c r="I26" i="36"/>
  <c r="J26" i="36"/>
  <c r="K26" i="36"/>
  <c r="L26" i="36"/>
  <c r="M26" i="36"/>
  <c r="N26" i="36"/>
  <c r="O26" i="36"/>
  <c r="P26" i="36"/>
  <c r="Q26" i="36"/>
  <c r="R26" i="36"/>
  <c r="S26" i="36"/>
  <c r="T26" i="36"/>
  <c r="U26" i="36"/>
  <c r="V26" i="36"/>
  <c r="W26" i="36"/>
  <c r="X26" i="36"/>
  <c r="Y26" i="36"/>
  <c r="Z26" i="36"/>
  <c r="AA26" i="36"/>
  <c r="AB26" i="36"/>
  <c r="AC26" i="36"/>
  <c r="AD26" i="36"/>
  <c r="AE26" i="36"/>
  <c r="AF26" i="36"/>
  <c r="AG26" i="36"/>
  <c r="AH26" i="36"/>
  <c r="AI26" i="36"/>
  <c r="AJ26" i="36"/>
  <c r="AK26" i="36"/>
  <c r="AL26" i="36"/>
  <c r="AM26" i="36"/>
  <c r="AN26" i="36"/>
  <c r="AO26" i="36"/>
  <c r="AP26" i="36"/>
  <c r="AQ26" i="36"/>
  <c r="AR26" i="36"/>
  <c r="AS26" i="36"/>
  <c r="AT26" i="36"/>
  <c r="AU26" i="36"/>
  <c r="AV26" i="36"/>
  <c r="AW26" i="36"/>
  <c r="AX26" i="36"/>
  <c r="AY26" i="36"/>
  <c r="AZ26" i="36"/>
  <c r="BA26" i="36"/>
  <c r="BB26" i="36"/>
  <c r="BC26" i="36"/>
  <c r="BD26" i="36"/>
  <c r="BE26" i="36"/>
  <c r="F25" i="36"/>
  <c r="G25" i="36"/>
  <c r="H25" i="36"/>
  <c r="I25" i="36"/>
  <c r="J25" i="36"/>
  <c r="K25" i="36"/>
  <c r="L25" i="36"/>
  <c r="M25" i="36"/>
  <c r="N25" i="36"/>
  <c r="O25" i="36"/>
  <c r="P25" i="36"/>
  <c r="Q25" i="36"/>
  <c r="R25" i="36"/>
  <c r="S25" i="36"/>
  <c r="T25" i="36"/>
  <c r="U25" i="36"/>
  <c r="V25" i="36"/>
  <c r="W25" i="36"/>
  <c r="X25" i="36"/>
  <c r="Y25" i="36"/>
  <c r="Z25" i="36"/>
  <c r="AA25" i="36"/>
  <c r="AB25" i="36"/>
  <c r="AC25" i="36"/>
  <c r="AD25" i="36"/>
  <c r="AE25" i="36"/>
  <c r="AF25" i="36"/>
  <c r="AG25" i="36"/>
  <c r="AH25" i="36"/>
  <c r="AI25" i="36"/>
  <c r="AJ25" i="36"/>
  <c r="AK25" i="36"/>
  <c r="AL25" i="36"/>
  <c r="AM25" i="36"/>
  <c r="AN25" i="36"/>
  <c r="AO25" i="36"/>
  <c r="AP25" i="36"/>
  <c r="AQ25" i="36"/>
  <c r="AR25" i="36"/>
  <c r="AS25" i="36"/>
  <c r="AT25" i="36"/>
  <c r="AU25" i="36"/>
  <c r="AV25" i="36"/>
  <c r="AW25" i="36"/>
  <c r="AX25" i="36"/>
  <c r="AY25" i="36"/>
  <c r="AZ25" i="36"/>
  <c r="BA25" i="36"/>
  <c r="BB25" i="36"/>
  <c r="BC25" i="36"/>
  <c r="BD25" i="36"/>
  <c r="BE25" i="36"/>
  <c r="F15" i="36"/>
  <c r="G15" i="36"/>
  <c r="H15" i="36"/>
  <c r="I15" i="36"/>
  <c r="J15" i="36"/>
  <c r="K15" i="36"/>
  <c r="L15" i="36"/>
  <c r="M15" i="36"/>
  <c r="N15" i="36"/>
  <c r="O15" i="36"/>
  <c r="P15" i="36"/>
  <c r="Q15" i="36"/>
  <c r="R15" i="36"/>
  <c r="S15" i="36"/>
  <c r="T15" i="36"/>
  <c r="U15" i="36"/>
  <c r="V15" i="36"/>
  <c r="W15" i="36"/>
  <c r="X15" i="36"/>
  <c r="Y15" i="36"/>
  <c r="Z15" i="36"/>
  <c r="AA15" i="36"/>
  <c r="AB15" i="36"/>
  <c r="AC15" i="36"/>
  <c r="AD15" i="36"/>
  <c r="AE15" i="36"/>
  <c r="AF15" i="36"/>
  <c r="AG15" i="36"/>
  <c r="AH15" i="36"/>
  <c r="AI15" i="36"/>
  <c r="AJ15" i="36"/>
  <c r="AK15" i="36"/>
  <c r="AL15" i="36"/>
  <c r="AM15" i="36"/>
  <c r="AN15" i="36"/>
  <c r="AO15" i="36"/>
  <c r="AP15" i="36"/>
  <c r="AQ15" i="36"/>
  <c r="AR15" i="36"/>
  <c r="AS15" i="36"/>
  <c r="AT15" i="36"/>
  <c r="AU15" i="36"/>
  <c r="AV15" i="36"/>
  <c r="AW15" i="36"/>
  <c r="AX15" i="36"/>
  <c r="AY15" i="36"/>
  <c r="AZ15" i="36"/>
  <c r="BA15" i="36"/>
  <c r="BB15" i="36"/>
  <c r="BC15" i="36"/>
  <c r="BD15" i="36"/>
  <c r="BE15" i="36"/>
  <c r="F14" i="36"/>
  <c r="G14" i="36"/>
  <c r="H14" i="36"/>
  <c r="I14" i="36"/>
  <c r="J14" i="36"/>
  <c r="K14" i="36"/>
  <c r="L14" i="36"/>
  <c r="M14" i="36"/>
  <c r="N14" i="36"/>
  <c r="O14" i="36"/>
  <c r="P14" i="36"/>
  <c r="Q14" i="36"/>
  <c r="R14" i="36"/>
  <c r="S14" i="36"/>
  <c r="T14" i="36"/>
  <c r="U14" i="36"/>
  <c r="V14" i="36"/>
  <c r="W14" i="36"/>
  <c r="X14" i="36"/>
  <c r="Y14" i="36"/>
  <c r="Z14" i="36"/>
  <c r="AA14" i="36"/>
  <c r="AB14" i="36"/>
  <c r="AC14" i="36"/>
  <c r="AD14" i="36"/>
  <c r="AE14" i="36"/>
  <c r="AF14" i="36"/>
  <c r="AG14" i="36"/>
  <c r="AH14" i="36"/>
  <c r="AI14" i="36"/>
  <c r="AJ14" i="36"/>
  <c r="AK14" i="36"/>
  <c r="AL14" i="36"/>
  <c r="AM14" i="36"/>
  <c r="AN14" i="36"/>
  <c r="AO14" i="36"/>
  <c r="AP14" i="36"/>
  <c r="AQ14" i="36"/>
  <c r="AR14" i="36"/>
  <c r="AS14" i="36"/>
  <c r="AT14" i="36"/>
  <c r="AU14" i="36"/>
  <c r="AV14" i="36"/>
  <c r="AW14" i="36"/>
  <c r="AX14" i="36"/>
  <c r="AY14" i="36"/>
  <c r="AZ14" i="36"/>
  <c r="BA14" i="36"/>
  <c r="BB14" i="36"/>
  <c r="BC14" i="36"/>
  <c r="BD14" i="36"/>
  <c r="BE14" i="36"/>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G12" i="36"/>
  <c r="H12" i="36"/>
  <c r="I12" i="36"/>
  <c r="J12" i="36"/>
  <c r="K12" i="36"/>
  <c r="L12" i="36"/>
  <c r="M12" i="36"/>
  <c r="N12" i="36"/>
  <c r="O12" i="36"/>
  <c r="P12" i="36"/>
  <c r="Q12" i="36"/>
  <c r="R12" i="36"/>
  <c r="S12" i="36"/>
  <c r="T12" i="36"/>
  <c r="U12" i="36"/>
  <c r="V12" i="36"/>
  <c r="W12" i="36"/>
  <c r="X12" i="36"/>
  <c r="Y12" i="36"/>
  <c r="Z12" i="36"/>
  <c r="AA12" i="36"/>
  <c r="AB12" i="36"/>
  <c r="AC12" i="36"/>
  <c r="AD12" i="36"/>
  <c r="AE12" i="36"/>
  <c r="AF12" i="36"/>
  <c r="AG12" i="36"/>
  <c r="AH12" i="36"/>
  <c r="AI12" i="36"/>
  <c r="AJ12" i="36"/>
  <c r="AK12" i="36"/>
  <c r="AL12" i="36"/>
  <c r="AM12" i="36"/>
  <c r="AN12" i="36"/>
  <c r="AO12" i="36"/>
  <c r="AP12" i="36"/>
  <c r="AQ12" i="36"/>
  <c r="AR12" i="36"/>
  <c r="AS12" i="36"/>
  <c r="AT12" i="36"/>
  <c r="AU12" i="36"/>
  <c r="AV12" i="36"/>
  <c r="AW12" i="36"/>
  <c r="AX12" i="36"/>
  <c r="AY12" i="36"/>
  <c r="AZ12" i="36"/>
  <c r="BA12" i="36"/>
  <c r="BB12" i="36"/>
  <c r="BC12" i="36"/>
  <c r="BD12" i="36"/>
  <c r="BE12" i="36"/>
  <c r="F11" i="36"/>
  <c r="F17" i="36" s="1"/>
  <c r="G11" i="36"/>
  <c r="G17" i="36" s="1"/>
  <c r="H11" i="36"/>
  <c r="H17" i="36" s="1"/>
  <c r="I11" i="36"/>
  <c r="I17" i="36" s="1"/>
  <c r="J11" i="36"/>
  <c r="J17" i="36" s="1"/>
  <c r="K11" i="36"/>
  <c r="K17" i="36" s="1"/>
  <c r="L11" i="36"/>
  <c r="L17" i="36" s="1"/>
  <c r="M11" i="36"/>
  <c r="M17" i="36" s="1"/>
  <c r="N11" i="36"/>
  <c r="N17" i="36" s="1"/>
  <c r="O11" i="36"/>
  <c r="O17" i="36" s="1"/>
  <c r="P11" i="36"/>
  <c r="P17" i="36" s="1"/>
  <c r="Q11" i="36"/>
  <c r="Q17" i="36" s="1"/>
  <c r="R11" i="36"/>
  <c r="R17" i="36" s="1"/>
  <c r="S11" i="36"/>
  <c r="S17" i="36" s="1"/>
  <c r="T11" i="36"/>
  <c r="T17" i="36" s="1"/>
  <c r="U11" i="36"/>
  <c r="U17" i="36" s="1"/>
  <c r="V11" i="36"/>
  <c r="V17" i="36" s="1"/>
  <c r="W11" i="36"/>
  <c r="W17" i="36" s="1"/>
  <c r="X11" i="36"/>
  <c r="Y11" i="36"/>
  <c r="Y17" i="36" s="1"/>
  <c r="Z11" i="36"/>
  <c r="Z17" i="36" s="1"/>
  <c r="AA11" i="36"/>
  <c r="AA17" i="36" s="1"/>
  <c r="AB11" i="36"/>
  <c r="AB17" i="36" s="1"/>
  <c r="AC11" i="36"/>
  <c r="AC17" i="36" s="1"/>
  <c r="AD11" i="36"/>
  <c r="AD17" i="36" s="1"/>
  <c r="AE11" i="36"/>
  <c r="AE17" i="36" s="1"/>
  <c r="AF11" i="36"/>
  <c r="AF17" i="36" s="1"/>
  <c r="AG11" i="36"/>
  <c r="AG17" i="36" s="1"/>
  <c r="AH11" i="36"/>
  <c r="AH17" i="36" s="1"/>
  <c r="AI11" i="36"/>
  <c r="AJ11" i="36"/>
  <c r="AK11" i="36"/>
  <c r="AL11" i="36"/>
  <c r="AL17" i="36" s="1"/>
  <c r="AM11" i="36"/>
  <c r="AM17" i="36" s="1"/>
  <c r="AN11" i="36"/>
  <c r="AN17" i="36" s="1"/>
  <c r="AO11" i="36"/>
  <c r="AO17" i="36" s="1"/>
  <c r="AP11" i="36"/>
  <c r="AP17" i="36" s="1"/>
  <c r="AQ11" i="36"/>
  <c r="AQ17" i="36" s="1"/>
  <c r="AR11" i="36"/>
  <c r="AR17" i="36" s="1"/>
  <c r="AS11" i="36"/>
  <c r="AS17" i="36" s="1"/>
  <c r="AT11" i="36"/>
  <c r="AT17" i="36" s="1"/>
  <c r="AU11" i="36"/>
  <c r="AU17" i="36" s="1"/>
  <c r="AV11" i="36"/>
  <c r="AV17" i="36" s="1"/>
  <c r="AW11" i="36"/>
  <c r="AW17" i="36" s="1"/>
  <c r="AX11" i="36"/>
  <c r="AX17" i="36" s="1"/>
  <c r="AY11" i="36"/>
  <c r="AY17" i="36" s="1"/>
  <c r="AZ11" i="36"/>
  <c r="AZ17" i="36" s="1"/>
  <c r="BA11" i="36"/>
  <c r="BA17" i="36" s="1"/>
  <c r="BB11" i="36"/>
  <c r="BB17" i="36" s="1"/>
  <c r="BC11" i="36"/>
  <c r="BC17" i="36" s="1"/>
  <c r="BD11" i="36"/>
  <c r="BD17" i="36" s="1"/>
  <c r="BE11" i="36"/>
  <c r="BE17" i="36" s="1"/>
  <c r="F7" i="36"/>
  <c r="G7" i="36"/>
  <c r="H7" i="36"/>
  <c r="I7" i="36"/>
  <c r="J7" i="36"/>
  <c r="K7" i="36"/>
  <c r="L7" i="36"/>
  <c r="M7" i="36"/>
  <c r="N7" i="36"/>
  <c r="O7" i="36"/>
  <c r="P7" i="36"/>
  <c r="Q7" i="36"/>
  <c r="R7" i="36"/>
  <c r="S7" i="36"/>
  <c r="T7" i="36"/>
  <c r="U7" i="36"/>
  <c r="V7" i="36"/>
  <c r="W7" i="36"/>
  <c r="X7" i="36"/>
  <c r="Y7" i="36"/>
  <c r="Z7" i="36"/>
  <c r="AA7" i="36"/>
  <c r="AB7" i="36"/>
  <c r="AC7" i="36"/>
  <c r="AD7" i="36"/>
  <c r="AE7" i="36"/>
  <c r="AF7" i="36"/>
  <c r="AG7" i="36"/>
  <c r="AH7" i="36"/>
  <c r="AI7" i="36"/>
  <c r="AJ7" i="36"/>
  <c r="AK7" i="36"/>
  <c r="AL7" i="36"/>
  <c r="AM7" i="36"/>
  <c r="AN7" i="36"/>
  <c r="AO7" i="36"/>
  <c r="AP7" i="36"/>
  <c r="AQ7" i="36"/>
  <c r="AR7" i="36"/>
  <c r="AS7" i="36"/>
  <c r="AT7" i="36"/>
  <c r="AU7" i="36"/>
  <c r="AV7" i="36"/>
  <c r="AW7" i="36"/>
  <c r="AX7" i="36"/>
  <c r="AY7" i="36"/>
  <c r="AZ7" i="36"/>
  <c r="BA7" i="36"/>
  <c r="BB7" i="36"/>
  <c r="BC7" i="36"/>
  <c r="BD7" i="36"/>
  <c r="BE7" i="36"/>
  <c r="F6" i="36"/>
  <c r="F9" i="36" s="1"/>
  <c r="G6" i="36"/>
  <c r="G9" i="36" s="1"/>
  <c r="H6" i="36"/>
  <c r="H9" i="36" s="1"/>
  <c r="I6" i="36"/>
  <c r="I9" i="36" s="1"/>
  <c r="J6" i="36"/>
  <c r="J9" i="36" s="1"/>
  <c r="K6" i="36"/>
  <c r="K9" i="36" s="1"/>
  <c r="L6" i="36"/>
  <c r="L9" i="36" s="1"/>
  <c r="M6" i="36"/>
  <c r="M9" i="36" s="1"/>
  <c r="N6" i="36"/>
  <c r="N9" i="36" s="1"/>
  <c r="O6" i="36"/>
  <c r="O9" i="36" s="1"/>
  <c r="P6" i="36"/>
  <c r="P9" i="36" s="1"/>
  <c r="Q6" i="36"/>
  <c r="Q9" i="36" s="1"/>
  <c r="R6" i="36"/>
  <c r="R9" i="36" s="1"/>
  <c r="S6" i="36"/>
  <c r="S9" i="36" s="1"/>
  <c r="T6" i="36"/>
  <c r="T9" i="36" s="1"/>
  <c r="U6" i="36"/>
  <c r="U9" i="36" s="1"/>
  <c r="V6" i="36"/>
  <c r="V9" i="36" s="1"/>
  <c r="W6" i="36"/>
  <c r="W9" i="36" s="1"/>
  <c r="X6" i="36"/>
  <c r="Y6" i="36"/>
  <c r="Y9" i="36" s="1"/>
  <c r="Z6" i="36"/>
  <c r="Z9" i="36" s="1"/>
  <c r="AA6" i="36"/>
  <c r="AA9" i="36" s="1"/>
  <c r="AB6" i="36"/>
  <c r="AB9" i="36" s="1"/>
  <c r="AC6" i="36"/>
  <c r="AC9" i="36" s="1"/>
  <c r="AD6" i="36"/>
  <c r="AD9" i="36" s="1"/>
  <c r="AE6" i="36"/>
  <c r="AE9" i="36" s="1"/>
  <c r="AF6" i="36"/>
  <c r="AF9" i="36" s="1"/>
  <c r="AG6" i="36"/>
  <c r="AG9" i="36" s="1"/>
  <c r="AH6" i="36"/>
  <c r="AH9" i="36" s="1"/>
  <c r="AI6" i="36"/>
  <c r="AI9" i="36" s="1"/>
  <c r="AJ6" i="36"/>
  <c r="AJ9" i="36" s="1"/>
  <c r="AK6" i="36"/>
  <c r="AL6" i="36"/>
  <c r="AL9" i="36" s="1"/>
  <c r="AM6" i="36"/>
  <c r="AM9" i="36" s="1"/>
  <c r="AN6" i="36"/>
  <c r="AN9" i="36" s="1"/>
  <c r="AO6" i="36"/>
  <c r="AO9" i="36" s="1"/>
  <c r="AP6" i="36"/>
  <c r="AP9" i="36" s="1"/>
  <c r="AQ6" i="36"/>
  <c r="AQ9" i="36" s="1"/>
  <c r="AR6" i="36"/>
  <c r="AR9" i="36" s="1"/>
  <c r="AS6" i="36"/>
  <c r="AS9" i="36" s="1"/>
  <c r="AT6" i="36"/>
  <c r="AT9" i="36" s="1"/>
  <c r="AU6" i="36"/>
  <c r="AU9" i="36" s="1"/>
  <c r="AV6" i="36"/>
  <c r="AV9" i="36" s="1"/>
  <c r="AW6" i="36"/>
  <c r="AW9" i="36" s="1"/>
  <c r="AX6" i="36"/>
  <c r="AX9" i="36" s="1"/>
  <c r="AY6" i="36"/>
  <c r="AY9" i="36" s="1"/>
  <c r="AZ6" i="36"/>
  <c r="AZ9" i="36" s="1"/>
  <c r="BA6" i="36"/>
  <c r="BA9" i="36" s="1"/>
  <c r="BB6" i="36"/>
  <c r="BB9" i="36" s="1"/>
  <c r="BC6" i="36"/>
  <c r="BC9" i="36" s="1"/>
  <c r="BD6" i="36"/>
  <c r="BD9" i="36" s="1"/>
  <c r="BE6" i="36"/>
  <c r="BE9" i="36" s="1"/>
  <c r="E28" i="36"/>
  <c r="E27" i="36"/>
  <c r="E26" i="36"/>
  <c r="E25" i="36"/>
  <c r="E15" i="36"/>
  <c r="E14" i="36"/>
  <c r="E13" i="36"/>
  <c r="E12" i="36"/>
  <c r="E11" i="36"/>
  <c r="E7" i="36"/>
  <c r="E6" i="36"/>
  <c r="AJ17" i="36" l="1"/>
  <c r="AJ26" i="38" s="1"/>
  <c r="AI17" i="36"/>
  <c r="AI41" i="37" s="1"/>
  <c r="N39" i="37"/>
  <c r="N30" i="36"/>
  <c r="N15" i="40" s="1"/>
  <c r="AT48" i="38"/>
  <c r="AT41" i="40" s="1"/>
  <c r="AT39" i="37"/>
  <c r="AT30" i="36"/>
  <c r="AT15" i="40" s="1"/>
  <c r="R48" i="38"/>
  <c r="R41" i="40" s="1"/>
  <c r="R39" i="37"/>
  <c r="R30" i="36"/>
  <c r="R15" i="40" s="1"/>
  <c r="AX48" i="38"/>
  <c r="AX41" i="40" s="1"/>
  <c r="AX39" i="37"/>
  <c r="AX30" i="36"/>
  <c r="AX15" i="40" s="1"/>
  <c r="BE48" i="38"/>
  <c r="BE41" i="40" s="1"/>
  <c r="BE39" i="37"/>
  <c r="BE30" i="36"/>
  <c r="BE15" i="40" s="1"/>
  <c r="V48" i="38"/>
  <c r="V41" i="40" s="1"/>
  <c r="V39" i="37"/>
  <c r="V30" i="36"/>
  <c r="V15" i="40" s="1"/>
  <c r="T48" i="38"/>
  <c r="T41" i="40" s="1"/>
  <c r="T30" i="36"/>
  <c r="T15" i="40" s="1"/>
  <c r="BC48" i="38"/>
  <c r="BC41" i="40" s="1"/>
  <c r="BC39" i="37"/>
  <c r="BC30" i="36"/>
  <c r="BC15" i="40" s="1"/>
  <c r="BB48" i="38"/>
  <c r="BB41" i="40" s="1"/>
  <c r="BB39" i="37"/>
  <c r="BB30" i="36"/>
  <c r="BB15" i="40" s="1"/>
  <c r="AZ48" i="38"/>
  <c r="AZ41" i="40" s="1"/>
  <c r="AZ30" i="36"/>
  <c r="AZ15" i="40" s="1"/>
  <c r="AY48" i="38"/>
  <c r="AY41" i="40" s="1"/>
  <c r="AY39" i="37"/>
  <c r="AY30" i="36"/>
  <c r="AY15" i="40" s="1"/>
  <c r="AW48" i="38"/>
  <c r="AW41" i="40" s="1"/>
  <c r="AW39" i="37"/>
  <c r="AW30" i="36"/>
  <c r="AW15" i="40" s="1"/>
  <c r="AV48" i="38"/>
  <c r="AV41" i="40" s="1"/>
  <c r="AV30" i="36"/>
  <c r="AV15" i="40" s="1"/>
  <c r="AS48" i="38"/>
  <c r="AS41" i="40" s="1"/>
  <c r="AS39" i="37"/>
  <c r="AS30" i="36"/>
  <c r="AS15" i="40" s="1"/>
  <c r="AQ48" i="38"/>
  <c r="AQ41" i="40" s="1"/>
  <c r="AQ39" i="37"/>
  <c r="AQ30" i="36"/>
  <c r="AQ15" i="40" s="1"/>
  <c r="AP48" i="38"/>
  <c r="AP41" i="40" s="1"/>
  <c r="AP39" i="37"/>
  <c r="AP30" i="36"/>
  <c r="AP15" i="40" s="1"/>
  <c r="AO48" i="38"/>
  <c r="AO41" i="40" s="1"/>
  <c r="AO39" i="37"/>
  <c r="AO30" i="36"/>
  <c r="AO15" i="40" s="1"/>
  <c r="AN48" i="38"/>
  <c r="AN41" i="40" s="1"/>
  <c r="AN30" i="36"/>
  <c r="AN15" i="40" s="1"/>
  <c r="AM48" i="38"/>
  <c r="AM41" i="40" s="1"/>
  <c r="AM39" i="37"/>
  <c r="AM30" i="36"/>
  <c r="AM15" i="40" s="1"/>
  <c r="AL48" i="38"/>
  <c r="AL41" i="40" s="1"/>
  <c r="AL39" i="37"/>
  <c r="AL30" i="36"/>
  <c r="AL15" i="40" s="1"/>
  <c r="AJ48" i="38"/>
  <c r="AJ41" i="40" s="1"/>
  <c r="AJ30" i="36"/>
  <c r="AJ15" i="40" s="1"/>
  <c r="AI48" i="38"/>
  <c r="AI41" i="40" s="1"/>
  <c r="AI39" i="37"/>
  <c r="AI30" i="36"/>
  <c r="AI15" i="40" s="1"/>
  <c r="AH48" i="38"/>
  <c r="AH41" i="40" s="1"/>
  <c r="AH39" i="37"/>
  <c r="AH30" i="36"/>
  <c r="AH15" i="40" s="1"/>
  <c r="AG48" i="38"/>
  <c r="AG41" i="40" s="1"/>
  <c r="AG39" i="37"/>
  <c r="AG30" i="36"/>
  <c r="AG15" i="40" s="1"/>
  <c r="AF48" i="38"/>
  <c r="AF41" i="40" s="1"/>
  <c r="AF30" i="36"/>
  <c r="AF15" i="40" s="1"/>
  <c r="AB48" i="38"/>
  <c r="AB41" i="40" s="1"/>
  <c r="AB30" i="36"/>
  <c r="AB15" i="40" s="1"/>
  <c r="BF12" i="36"/>
  <c r="J48" i="38"/>
  <c r="J41" i="40" s="1"/>
  <c r="J39" i="37"/>
  <c r="J30" i="36"/>
  <c r="J15" i="40" s="1"/>
  <c r="AE48" i="38"/>
  <c r="AE41" i="40" s="1"/>
  <c r="AE39" i="37"/>
  <c r="AE30" i="36"/>
  <c r="AE15" i="40" s="1"/>
  <c r="AC48" i="38"/>
  <c r="AC41" i="40" s="1"/>
  <c r="AC39" i="37"/>
  <c r="AC30" i="36"/>
  <c r="AC15" i="40" s="1"/>
  <c r="AA48" i="38"/>
  <c r="AA41" i="40" s="1"/>
  <c r="AA39" i="37"/>
  <c r="AA30" i="36"/>
  <c r="AA15" i="40" s="1"/>
  <c r="Y48" i="38"/>
  <c r="Y41" i="40" s="1"/>
  <c r="Y39" i="37"/>
  <c r="Y30" i="36"/>
  <c r="Y15" i="40" s="1"/>
  <c r="D36" i="43"/>
  <c r="U48" i="38"/>
  <c r="U41" i="40" s="1"/>
  <c r="U39" i="37"/>
  <c r="U30" i="36"/>
  <c r="U15" i="40" s="1"/>
  <c r="AU48" i="38"/>
  <c r="AU41" i="40" s="1"/>
  <c r="AU39" i="37"/>
  <c r="AU30" i="36"/>
  <c r="AU15" i="40" s="1"/>
  <c r="S48" i="38"/>
  <c r="S41" i="40" s="1"/>
  <c r="S39" i="37"/>
  <c r="S30" i="36"/>
  <c r="S15" i="40" s="1"/>
  <c r="W48" i="38"/>
  <c r="W41" i="40" s="1"/>
  <c r="BF42" i="38"/>
  <c r="W39" i="37"/>
  <c r="W30" i="36"/>
  <c r="W15" i="40" s="1"/>
  <c r="AD48" i="38"/>
  <c r="AD41" i="40" s="1"/>
  <c r="AD39" i="37"/>
  <c r="BG14" i="39"/>
  <c r="AD30" i="36"/>
  <c r="AD15" i="40" s="1"/>
  <c r="Q48" i="38"/>
  <c r="Q41" i="40" s="1"/>
  <c r="Q39" i="37"/>
  <c r="Q30" i="36"/>
  <c r="Q15" i="40" s="1"/>
  <c r="P48" i="38"/>
  <c r="P41" i="40" s="1"/>
  <c r="P30" i="36"/>
  <c r="P15" i="40" s="1"/>
  <c r="H48" i="38"/>
  <c r="H41" i="40" s="1"/>
  <c r="BF32" i="37"/>
  <c r="H30" i="36"/>
  <c r="H15" i="40" s="1"/>
  <c r="BF25" i="36"/>
  <c r="K48" i="38"/>
  <c r="K41" i="40" s="1"/>
  <c r="K39" i="37"/>
  <c r="K30" i="36"/>
  <c r="K15" i="40" s="1"/>
  <c r="G48" i="38"/>
  <c r="G41" i="40" s="1"/>
  <c r="G39" i="37"/>
  <c r="BF33" i="38"/>
  <c r="G30" i="36"/>
  <c r="G15" i="40" s="1"/>
  <c r="BF15" i="36"/>
  <c r="I48" i="38"/>
  <c r="I41" i="40" s="1"/>
  <c r="I39" i="37"/>
  <c r="BF6" i="36"/>
  <c r="BF26" i="36"/>
  <c r="I30" i="36"/>
  <c r="I15" i="40" s="1"/>
  <c r="BD48" i="38"/>
  <c r="BD41" i="40" s="1"/>
  <c r="BD30" i="36"/>
  <c r="BD15" i="40" s="1"/>
  <c r="BF7" i="36"/>
  <c r="L48" i="38"/>
  <c r="L41" i="40" s="1"/>
  <c r="BF19" i="37"/>
  <c r="L30" i="36"/>
  <c r="L15" i="40" s="1"/>
  <c r="BF14" i="36"/>
  <c r="BF38" i="38"/>
  <c r="BF36" i="38"/>
  <c r="F48" i="38"/>
  <c r="F41" i="40" s="1"/>
  <c r="BF34" i="38"/>
  <c r="BF43" i="38"/>
  <c r="BF36" i="37"/>
  <c r="F39" i="37"/>
  <c r="BF34" i="37"/>
  <c r="BF14" i="39"/>
  <c r="F30" i="36"/>
  <c r="F15" i="40" s="1"/>
  <c r="BF28" i="36"/>
  <c r="BF13" i="36"/>
  <c r="BF37" i="38"/>
  <c r="BF35" i="38"/>
  <c r="M48" i="38"/>
  <c r="M41" i="40" s="1"/>
  <c r="M39" i="37"/>
  <c r="M30" i="36"/>
  <c r="M15" i="40" s="1"/>
  <c r="D18" i="43" s="1"/>
  <c r="BF12" i="38"/>
  <c r="BA48" i="38"/>
  <c r="BA41" i="40" s="1"/>
  <c r="BA39" i="37"/>
  <c r="BA30" i="36"/>
  <c r="BA15" i="40" s="1"/>
  <c r="O48" i="38"/>
  <c r="O41" i="40" s="1"/>
  <c r="BF44" i="38"/>
  <c r="BF11" i="36"/>
  <c r="O39" i="37"/>
  <c r="O30" i="36"/>
  <c r="O15" i="40" s="1"/>
  <c r="O15" i="38"/>
  <c r="BF13" i="38"/>
  <c r="AR48" i="38"/>
  <c r="AR41" i="40" s="1"/>
  <c r="BH14" i="39"/>
  <c r="AR30" i="36"/>
  <c r="AR15" i="40" s="1"/>
  <c r="Z48" i="38"/>
  <c r="Z41" i="40" s="1"/>
  <c r="Z39" i="37"/>
  <c r="Z30" i="36"/>
  <c r="Z15" i="40" s="1"/>
  <c r="E9" i="36"/>
  <c r="BF9" i="36" s="1"/>
  <c r="E17" i="36"/>
  <c r="BF27" i="36"/>
  <c r="E30" i="36"/>
  <c r="E15" i="40" s="1"/>
  <c r="BD26" i="38"/>
  <c r="BD41" i="37"/>
  <c r="BD32" i="36"/>
  <c r="BD34" i="36" s="1"/>
  <c r="BD31" i="40" s="1"/>
  <c r="BD19" i="36"/>
  <c r="BD29" i="40" s="1"/>
  <c r="BB26" i="38"/>
  <c r="BB41" i="37"/>
  <c r="BB32" i="36"/>
  <c r="BB19" i="36"/>
  <c r="BB29" i="40" s="1"/>
  <c r="AZ26" i="38"/>
  <c r="AZ41" i="37"/>
  <c r="AZ32" i="36"/>
  <c r="AZ19" i="36"/>
  <c r="AZ29" i="40" s="1"/>
  <c r="AX26" i="38"/>
  <c r="AX41" i="37"/>
  <c r="AX32" i="36"/>
  <c r="AX19" i="36"/>
  <c r="AX29" i="40" s="1"/>
  <c r="AV26" i="38"/>
  <c r="AV41" i="37"/>
  <c r="AV32" i="36"/>
  <c r="AV19" i="36"/>
  <c r="AV29" i="40" s="1"/>
  <c r="AT26" i="38"/>
  <c r="AT41" i="37"/>
  <c r="AT32" i="36"/>
  <c r="AT19" i="36"/>
  <c r="AT29" i="40" s="1"/>
  <c r="AR26" i="38"/>
  <c r="AR41" i="37"/>
  <c r="AR32" i="36"/>
  <c r="AR34" i="36" s="1"/>
  <c r="AR31" i="40" s="1"/>
  <c r="AR19" i="36"/>
  <c r="AR29" i="40" s="1"/>
  <c r="AP26" i="38"/>
  <c r="AP41" i="37"/>
  <c r="AP43" i="37" s="1"/>
  <c r="AP35" i="40" s="1"/>
  <c r="AP32" i="36"/>
  <c r="AP34" i="36" s="1"/>
  <c r="AP31" i="40" s="1"/>
  <c r="AP19" i="36"/>
  <c r="AP29" i="40" s="1"/>
  <c r="AN26" i="38"/>
  <c r="AN41" i="37"/>
  <c r="AN32" i="36"/>
  <c r="AN19" i="36"/>
  <c r="AN29" i="40" s="1"/>
  <c r="AL26" i="38"/>
  <c r="AL41" i="37"/>
  <c r="AL32" i="36"/>
  <c r="AL19" i="36"/>
  <c r="AL29" i="40" s="1"/>
  <c r="AJ19" i="36"/>
  <c r="AJ29" i="40" s="1"/>
  <c r="AH26" i="38"/>
  <c r="AH41" i="37"/>
  <c r="AH32" i="36"/>
  <c r="AH19" i="36"/>
  <c r="AH29" i="40" s="1"/>
  <c r="AF26" i="38"/>
  <c r="AF41" i="37"/>
  <c r="AF32" i="36"/>
  <c r="AF34" i="36" s="1"/>
  <c r="AF31" i="40" s="1"/>
  <c r="AF19" i="36"/>
  <c r="AF29" i="40" s="1"/>
  <c r="AD26" i="38"/>
  <c r="AD41" i="37"/>
  <c r="AD32" i="36"/>
  <c r="AD34" i="36" s="1"/>
  <c r="AD31" i="40" s="1"/>
  <c r="AD19" i="36"/>
  <c r="AD29" i="40" s="1"/>
  <c r="AB26" i="38"/>
  <c r="AB41" i="37"/>
  <c r="AB32" i="36"/>
  <c r="AB34" i="36" s="1"/>
  <c r="AB31" i="40" s="1"/>
  <c r="AB19" i="36"/>
  <c r="AB29" i="40" s="1"/>
  <c r="Z26" i="38"/>
  <c r="Z41" i="37"/>
  <c r="Z32" i="36"/>
  <c r="Z19" i="36"/>
  <c r="Z29" i="40" s="1"/>
  <c r="V26" i="38"/>
  <c r="V41" i="37"/>
  <c r="V32" i="36"/>
  <c r="V19" i="36"/>
  <c r="V29" i="40" s="1"/>
  <c r="T26" i="38"/>
  <c r="T41" i="37"/>
  <c r="T32" i="36"/>
  <c r="T19" i="36"/>
  <c r="T29" i="40" s="1"/>
  <c r="R26" i="38"/>
  <c r="R41" i="37"/>
  <c r="R43" i="37" s="1"/>
  <c r="R35" i="40" s="1"/>
  <c r="R32" i="36"/>
  <c r="R34" i="36" s="1"/>
  <c r="R31" i="40" s="1"/>
  <c r="R19" i="36"/>
  <c r="R29" i="40" s="1"/>
  <c r="P26" i="38"/>
  <c r="P41" i="37"/>
  <c r="P32" i="36"/>
  <c r="P19" i="36"/>
  <c r="P29" i="40" s="1"/>
  <c r="N26" i="38"/>
  <c r="N28" i="38" s="1"/>
  <c r="N39" i="40" s="1"/>
  <c r="N41" i="37"/>
  <c r="N43" i="37" s="1"/>
  <c r="N35" i="40" s="1"/>
  <c r="N32" i="36"/>
  <c r="N34" i="36" s="1"/>
  <c r="N31" i="40" s="1"/>
  <c r="N19" i="36"/>
  <c r="N29" i="40" s="1"/>
  <c r="L26" i="38"/>
  <c r="L41" i="37"/>
  <c r="L32" i="36"/>
  <c r="L34" i="36" s="1"/>
  <c r="L31" i="40" s="1"/>
  <c r="L19" i="36"/>
  <c r="L29" i="40" s="1"/>
  <c r="J26" i="38"/>
  <c r="J41" i="37"/>
  <c r="J43" i="37" s="1"/>
  <c r="J35" i="40" s="1"/>
  <c r="J32" i="36"/>
  <c r="J34" i="36" s="1"/>
  <c r="J31" i="40" s="1"/>
  <c r="J19" i="36"/>
  <c r="J29" i="40" s="1"/>
  <c r="H26" i="38"/>
  <c r="H41" i="37"/>
  <c r="H32" i="36"/>
  <c r="H34" i="36" s="1"/>
  <c r="H31" i="40" s="1"/>
  <c r="H19" i="36"/>
  <c r="H29" i="40" s="1"/>
  <c r="F26" i="38"/>
  <c r="F41" i="37"/>
  <c r="F32" i="36"/>
  <c r="F19" i="36"/>
  <c r="F29" i="40" s="1"/>
  <c r="BH6" i="36"/>
  <c r="AK9" i="36"/>
  <c r="BH9" i="36" s="1"/>
  <c r="BE26" i="38"/>
  <c r="BE41" i="37"/>
  <c r="BE43" i="37" s="1"/>
  <c r="BE35" i="40" s="1"/>
  <c r="BE32" i="36"/>
  <c r="BE34" i="36" s="1"/>
  <c r="BE31" i="40" s="1"/>
  <c r="BE19" i="36"/>
  <c r="BE29" i="40" s="1"/>
  <c r="BC26" i="38"/>
  <c r="BC41" i="37"/>
  <c r="BC43" i="37" s="1"/>
  <c r="BC35" i="40" s="1"/>
  <c r="BC32" i="36"/>
  <c r="BC34" i="36" s="1"/>
  <c r="BC31" i="40" s="1"/>
  <c r="BC19" i="36"/>
  <c r="BC29" i="40" s="1"/>
  <c r="BA26" i="38"/>
  <c r="BA41" i="37"/>
  <c r="BA43" i="37" s="1"/>
  <c r="BA35" i="40" s="1"/>
  <c r="BA32" i="36"/>
  <c r="BA34" i="36" s="1"/>
  <c r="BA31" i="40" s="1"/>
  <c r="BA19" i="36"/>
  <c r="BA29" i="40" s="1"/>
  <c r="AY26" i="38"/>
  <c r="AY41" i="37"/>
  <c r="AY43" i="37" s="1"/>
  <c r="AY35" i="40" s="1"/>
  <c r="AY32" i="36"/>
  <c r="AY34" i="36" s="1"/>
  <c r="AY31" i="40" s="1"/>
  <c r="AY19" i="36"/>
  <c r="AY29" i="40" s="1"/>
  <c r="AW26" i="38"/>
  <c r="AW41" i="37"/>
  <c r="AW32" i="36"/>
  <c r="AW19" i="36"/>
  <c r="AW29" i="40" s="1"/>
  <c r="AU26" i="38"/>
  <c r="AU41" i="37"/>
  <c r="AU32" i="36"/>
  <c r="AU19" i="36"/>
  <c r="AU29" i="40" s="1"/>
  <c r="AS26" i="38"/>
  <c r="AS41" i="37"/>
  <c r="AS43" i="37" s="1"/>
  <c r="AS35" i="40" s="1"/>
  <c r="AS32" i="36"/>
  <c r="AS34" i="36" s="1"/>
  <c r="AS31" i="40" s="1"/>
  <c r="AS19" i="36"/>
  <c r="AS29" i="40" s="1"/>
  <c r="AQ26" i="38"/>
  <c r="AQ41" i="37"/>
  <c r="AQ32" i="36"/>
  <c r="AQ19" i="36"/>
  <c r="AQ29" i="40" s="1"/>
  <c r="AO26" i="38"/>
  <c r="AO41" i="37"/>
  <c r="AO32" i="36"/>
  <c r="AO19" i="36"/>
  <c r="AO29" i="40" s="1"/>
  <c r="AM26" i="38"/>
  <c r="AM41" i="37"/>
  <c r="AM43" i="37" s="1"/>
  <c r="AM35" i="40" s="1"/>
  <c r="AM32" i="36"/>
  <c r="AM34" i="36" s="1"/>
  <c r="AM31" i="40" s="1"/>
  <c r="AM19" i="36"/>
  <c r="AM29" i="40" s="1"/>
  <c r="AI26" i="38"/>
  <c r="AI32" i="36"/>
  <c r="AI34" i="36" s="1"/>
  <c r="AI31" i="40" s="1"/>
  <c r="AG26" i="38"/>
  <c r="AG41" i="37"/>
  <c r="AG43" i="37" s="1"/>
  <c r="AG35" i="40" s="1"/>
  <c r="AG32" i="36"/>
  <c r="AG34" i="36" s="1"/>
  <c r="AG31" i="40" s="1"/>
  <c r="AG19" i="36"/>
  <c r="AG29" i="40" s="1"/>
  <c r="AE26" i="38"/>
  <c r="AE41" i="37"/>
  <c r="AE32" i="36"/>
  <c r="AE19" i="36"/>
  <c r="AE29" i="40" s="1"/>
  <c r="AC26" i="38"/>
  <c r="AC41" i="37"/>
  <c r="AC43" i="37" s="1"/>
  <c r="AC35" i="40" s="1"/>
  <c r="AC32" i="36"/>
  <c r="AC34" i="36" s="1"/>
  <c r="AC31" i="40" s="1"/>
  <c r="AC19" i="36"/>
  <c r="AC29" i="40" s="1"/>
  <c r="AA26" i="38"/>
  <c r="AA41" i="37"/>
  <c r="AA32" i="36"/>
  <c r="AA19" i="36"/>
  <c r="AA29" i="40" s="1"/>
  <c r="Y26" i="38"/>
  <c r="Y41" i="37"/>
  <c r="Y43" i="37" s="1"/>
  <c r="Y35" i="40" s="1"/>
  <c r="Y32" i="36"/>
  <c r="Y34" i="36" s="1"/>
  <c r="Y31" i="40" s="1"/>
  <c r="Y19" i="36"/>
  <c r="Y29" i="40" s="1"/>
  <c r="W26" i="38"/>
  <c r="W41" i="37"/>
  <c r="W43" i="37" s="1"/>
  <c r="W35" i="40" s="1"/>
  <c r="W32" i="36"/>
  <c r="W34" i="36" s="1"/>
  <c r="W31" i="40" s="1"/>
  <c r="W19" i="36"/>
  <c r="W29" i="40" s="1"/>
  <c r="U26" i="38"/>
  <c r="U41" i="37"/>
  <c r="U43" i="37" s="1"/>
  <c r="U35" i="40" s="1"/>
  <c r="U32" i="36"/>
  <c r="U34" i="36" s="1"/>
  <c r="U31" i="40" s="1"/>
  <c r="U19" i="36"/>
  <c r="U29" i="40" s="1"/>
  <c r="S26" i="38"/>
  <c r="S41" i="37"/>
  <c r="S43" i="37" s="1"/>
  <c r="S35" i="40" s="1"/>
  <c r="S32" i="36"/>
  <c r="S34" i="36" s="1"/>
  <c r="S31" i="40" s="1"/>
  <c r="S19" i="36"/>
  <c r="S29" i="40" s="1"/>
  <c r="Q26" i="38"/>
  <c r="Q41" i="37"/>
  <c r="Q32" i="36"/>
  <c r="Q19" i="36"/>
  <c r="Q29" i="40" s="1"/>
  <c r="O26" i="38"/>
  <c r="O41" i="37"/>
  <c r="O32" i="36"/>
  <c r="O19" i="36"/>
  <c r="O29" i="40" s="1"/>
  <c r="M26" i="38"/>
  <c r="M41" i="37"/>
  <c r="M43" i="37" s="1"/>
  <c r="M35" i="40" s="1"/>
  <c r="M32" i="36"/>
  <c r="M34" i="36" s="1"/>
  <c r="M31" i="40" s="1"/>
  <c r="D34" i="43" s="1"/>
  <c r="M19" i="36"/>
  <c r="M29" i="40" s="1"/>
  <c r="K26" i="38"/>
  <c r="K41" i="37"/>
  <c r="K43" i="37" s="1"/>
  <c r="K35" i="40" s="1"/>
  <c r="K32" i="36"/>
  <c r="K34" i="36" s="1"/>
  <c r="K31" i="40" s="1"/>
  <c r="K19" i="36"/>
  <c r="K29" i="40" s="1"/>
  <c r="I26" i="38"/>
  <c r="I41" i="37"/>
  <c r="I43" i="37" s="1"/>
  <c r="I35" i="40" s="1"/>
  <c r="I32" i="36"/>
  <c r="I34" i="36" s="1"/>
  <c r="I31" i="40" s="1"/>
  <c r="I19" i="36"/>
  <c r="I29" i="40" s="1"/>
  <c r="G26" i="38"/>
  <c r="G41" i="37"/>
  <c r="G32" i="36"/>
  <c r="G34" i="36" s="1"/>
  <c r="G31" i="40" s="1"/>
  <c r="G19" i="36"/>
  <c r="G29" i="40" s="1"/>
  <c r="BG6" i="36"/>
  <c r="BG7" i="36"/>
  <c r="X9" i="36"/>
  <c r="BG9" i="36" s="1"/>
  <c r="BG11" i="36"/>
  <c r="BG12" i="36"/>
  <c r="BG13" i="36"/>
  <c r="BG14" i="36"/>
  <c r="BG15" i="36"/>
  <c r="X17" i="36"/>
  <c r="BG25" i="36"/>
  <c r="BG26" i="36"/>
  <c r="BG27" i="36"/>
  <c r="BG28" i="36"/>
  <c r="X30" i="36"/>
  <c r="BH7" i="36"/>
  <c r="BH11" i="36"/>
  <c r="BH12" i="36"/>
  <c r="BH13" i="36"/>
  <c r="BH14" i="36"/>
  <c r="BH15" i="36"/>
  <c r="AK17" i="36"/>
  <c r="BH25" i="36"/>
  <c r="BH26" i="36"/>
  <c r="BH27" i="36"/>
  <c r="BH28" i="36"/>
  <c r="AK30"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J41" i="37" l="1"/>
  <c r="AI43" i="37"/>
  <c r="AI35" i="40" s="1"/>
  <c r="AI19" i="36"/>
  <c r="AI29" i="40" s="1"/>
  <c r="AJ32" i="36"/>
  <c r="O34" i="36"/>
  <c r="O31" i="40" s="1"/>
  <c r="Q34" i="36"/>
  <c r="Q31" i="40" s="1"/>
  <c r="AE34" i="36"/>
  <c r="AE31" i="40" s="1"/>
  <c r="AO34" i="36"/>
  <c r="AO31" i="40" s="1"/>
  <c r="AQ34" i="36"/>
  <c r="AQ31" i="40" s="1"/>
  <c r="AU34" i="36"/>
  <c r="AU31" i="40" s="1"/>
  <c r="AW34" i="36"/>
  <c r="AW31" i="40" s="1"/>
  <c r="F34" i="36"/>
  <c r="F31" i="40" s="1"/>
  <c r="P34" i="36"/>
  <c r="P31" i="40" s="1"/>
  <c r="T34" i="36"/>
  <c r="T31" i="40" s="1"/>
  <c r="V34" i="36"/>
  <c r="V31" i="40" s="1"/>
  <c r="Z34" i="36"/>
  <c r="Z31" i="40" s="1"/>
  <c r="AH34" i="36"/>
  <c r="AH31" i="40" s="1"/>
  <c r="AJ34" i="36"/>
  <c r="AJ31" i="40" s="1"/>
  <c r="AL34" i="36"/>
  <c r="AL31" i="40" s="1"/>
  <c r="AT34" i="36"/>
  <c r="AT31" i="40" s="1"/>
  <c r="AV34" i="36"/>
  <c r="AV31" i="40" s="1"/>
  <c r="AX34" i="36"/>
  <c r="AX31" i="40" s="1"/>
  <c r="AZ34" i="36"/>
  <c r="AZ31" i="40" s="1"/>
  <c r="BB34"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34"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34"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17" i="36"/>
  <c r="BH19" i="36" s="1"/>
  <c r="AK26" i="38"/>
  <c r="AK41" i="37"/>
  <c r="AK32" i="36"/>
  <c r="AK19" i="36"/>
  <c r="AK29" i="40" s="1"/>
  <c r="BH29" i="40" s="1"/>
  <c r="BG17" i="36"/>
  <c r="BG19" i="36" s="1"/>
  <c r="X26" i="38"/>
  <c r="X41" i="37"/>
  <c r="X32" i="36"/>
  <c r="X19" i="36"/>
  <c r="X29" i="40" s="1"/>
  <c r="BG29" i="40" s="1"/>
  <c r="BF30" i="36"/>
  <c r="BF15" i="40"/>
  <c r="BF17" i="36"/>
  <c r="BF19" i="36" s="1"/>
  <c r="E26" i="38"/>
  <c r="E41" i="37"/>
  <c r="BF41" i="37" s="1"/>
  <c r="E32" i="36"/>
  <c r="E19" i="36"/>
  <c r="E29" i="40" s="1"/>
  <c r="BF29" i="40" s="1"/>
  <c r="BH30" i="36"/>
  <c r="AK15" i="40"/>
  <c r="BH15" i="40" s="1"/>
  <c r="BG30"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2" i="36"/>
  <c r="BF34" i="36" s="1"/>
  <c r="E34" i="36"/>
  <c r="E31" i="40" s="1"/>
  <c r="BF31" i="40" s="1"/>
  <c r="BF26" i="38"/>
  <c r="E28" i="38"/>
  <c r="E39" i="40" s="1"/>
  <c r="BG41" i="37"/>
  <c r="BG43" i="37" s="1"/>
  <c r="X43" i="37"/>
  <c r="X35" i="40" s="1"/>
  <c r="BG35" i="40" s="1"/>
  <c r="BH32" i="36"/>
  <c r="BH34" i="36" s="1"/>
  <c r="AK34" i="36"/>
  <c r="AK31" i="40" s="1"/>
  <c r="BH31" i="40" s="1"/>
  <c r="BH26" i="38"/>
  <c r="AK28" i="38"/>
  <c r="AK39" i="40" s="1"/>
  <c r="BH39" i="40" s="1"/>
  <c r="BG32" i="36"/>
  <c r="BG34" i="36" s="1"/>
  <c r="X34"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2" i="36" s="1"/>
  <c r="BF51" i="42"/>
  <c r="D38" i="35" s="1"/>
  <c r="BF52" i="42"/>
  <c r="D15" i="36" s="1"/>
  <c r="BF53" i="42"/>
  <c r="D13"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6"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14" i="36"/>
  <c r="D7" i="36"/>
  <c r="D34" i="35"/>
  <c r="D35" i="37"/>
  <c r="D17" i="37"/>
  <c r="D12" i="35"/>
  <c r="BI61" i="42"/>
  <c r="BH61" i="42"/>
  <c r="BG61" i="42"/>
  <c r="BF61" i="42"/>
  <c r="D44" i="35" s="1"/>
  <c r="BI58" i="42"/>
  <c r="BH58" i="42"/>
  <c r="BG58" i="42"/>
  <c r="BF58" i="42"/>
  <c r="BI37" i="42"/>
  <c r="BH37" i="42"/>
  <c r="BG37" i="42"/>
  <c r="BF37" i="42"/>
  <c r="D11"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28" i="36" s="1"/>
  <c r="BI11" i="42"/>
  <c r="BH11" i="42"/>
  <c r="BG11" i="42"/>
  <c r="BF11" i="42"/>
  <c r="D27" i="36" s="1"/>
  <c r="BI10" i="42"/>
  <c r="BH10" i="42"/>
  <c r="BG10" i="42"/>
  <c r="BF10" i="42"/>
  <c r="D26" i="36" s="1"/>
  <c r="BI9" i="42"/>
  <c r="BH9" i="42"/>
  <c r="BG9" i="42"/>
  <c r="BF9" i="42"/>
  <c r="D25"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17" i="36"/>
  <c r="D9" i="36"/>
  <c r="D46" i="35"/>
  <c r="D41" i="35"/>
  <c r="D24" i="38" s="1"/>
  <c r="D22" i="35"/>
  <c r="D16" i="39" s="1"/>
  <c r="D15" i="35"/>
  <c r="D17" i="40" s="1"/>
  <c r="D26" i="38" l="1"/>
  <c r="D41" i="37"/>
  <c r="D43" i="37" s="1"/>
  <c r="D35" i="40" s="1"/>
  <c r="D48" i="35"/>
  <c r="D26" i="40" s="1"/>
  <c r="D18" i="39"/>
  <c r="D43" i="40" s="1"/>
  <c r="D24" i="35"/>
  <c r="D19" i="40" s="1"/>
  <c r="D24" i="40"/>
  <c r="D28" i="38"/>
  <c r="D39" i="40" s="1"/>
  <c r="D30" i="36"/>
  <c r="D15" i="40" s="1"/>
  <c r="D24" i="37"/>
  <c r="D26" i="37" s="1"/>
  <c r="D33" i="40" s="1"/>
  <c r="D40" i="38"/>
  <c r="D48" i="38" s="1"/>
  <c r="D41" i="40" s="1"/>
  <c r="D32" i="36"/>
  <c r="D19" i="36"/>
  <c r="D29" i="40" s="1"/>
  <c r="D34"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4" i="36"/>
  <c r="E10" i="35"/>
  <c r="G11" i="40"/>
  <c r="G10" i="39"/>
  <c r="G10" i="38"/>
  <c r="G17" i="38" s="1"/>
  <c r="G19" i="38" s="1"/>
  <c r="G37" i="40" s="1"/>
  <c r="G10" i="37"/>
  <c r="G4" i="36"/>
  <c r="G10" i="35"/>
  <c r="I11" i="40"/>
  <c r="I10" i="39"/>
  <c r="I10" i="38"/>
  <c r="I17" i="38" s="1"/>
  <c r="I19" i="38" s="1"/>
  <c r="I37" i="40" s="1"/>
  <c r="I10" i="37"/>
  <c r="I4" i="36"/>
  <c r="I10" i="35"/>
  <c r="K11" i="40"/>
  <c r="K10" i="39"/>
  <c r="K10" i="38"/>
  <c r="K17" i="38" s="1"/>
  <c r="K19" i="38" s="1"/>
  <c r="K37" i="40" s="1"/>
  <c r="K10" i="37"/>
  <c r="K4" i="36"/>
  <c r="K10" i="35"/>
  <c r="M11" i="40"/>
  <c r="M10" i="39"/>
  <c r="M10" i="38"/>
  <c r="M17" i="38" s="1"/>
  <c r="M19" i="38" s="1"/>
  <c r="M37" i="40" s="1"/>
  <c r="M10" i="37"/>
  <c r="M4" i="36"/>
  <c r="M10" i="35"/>
  <c r="O11" i="40"/>
  <c r="O10" i="39"/>
  <c r="O10" i="38"/>
  <c r="O17" i="38" s="1"/>
  <c r="O19" i="38" s="1"/>
  <c r="O37" i="40" s="1"/>
  <c r="O10" i="37"/>
  <c r="O4" i="36"/>
  <c r="O10" i="35"/>
  <c r="Q11" i="40"/>
  <c r="Q10" i="39"/>
  <c r="Q10" i="38"/>
  <c r="Q17" i="38" s="1"/>
  <c r="Q19" i="38" s="1"/>
  <c r="Q37" i="40" s="1"/>
  <c r="Q10" i="37"/>
  <c r="Q4" i="36"/>
  <c r="Q10" i="35"/>
  <c r="S11" i="40"/>
  <c r="S10" i="39"/>
  <c r="S10" i="38"/>
  <c r="S17" i="38" s="1"/>
  <c r="S19" i="38" s="1"/>
  <c r="S37" i="40" s="1"/>
  <c r="S10" i="37"/>
  <c r="S4" i="36"/>
  <c r="S10" i="35"/>
  <c r="U11" i="40"/>
  <c r="U10" i="39"/>
  <c r="U10" i="38"/>
  <c r="U17" i="38" s="1"/>
  <c r="U19" i="38" s="1"/>
  <c r="U37" i="40" s="1"/>
  <c r="U10" i="37"/>
  <c r="U4" i="36"/>
  <c r="U10" i="35"/>
  <c r="W11" i="40"/>
  <c r="W10" i="39"/>
  <c r="W10" i="38"/>
  <c r="W17" i="38" s="1"/>
  <c r="W19" i="38" s="1"/>
  <c r="W37" i="40" s="1"/>
  <c r="W10" i="37"/>
  <c r="W4" i="36"/>
  <c r="W10" i="35"/>
  <c r="Y11" i="40"/>
  <c r="Y10" i="39"/>
  <c r="Y10" i="38"/>
  <c r="Y17" i="38" s="1"/>
  <c r="Y19" i="38" s="1"/>
  <c r="Y37" i="40" s="1"/>
  <c r="Y10" i="37"/>
  <c r="Y4" i="36"/>
  <c r="Y10" i="35"/>
  <c r="AA11" i="40"/>
  <c r="AA10" i="39"/>
  <c r="AA10" i="38"/>
  <c r="AA17" i="38" s="1"/>
  <c r="AA19" i="38" s="1"/>
  <c r="AA37" i="40" s="1"/>
  <c r="AA10" i="37"/>
  <c r="AA4" i="36"/>
  <c r="AA10" i="35"/>
  <c r="AC11" i="40"/>
  <c r="AC10" i="39"/>
  <c r="AC10" i="38"/>
  <c r="AC17" i="38" s="1"/>
  <c r="AC19" i="38" s="1"/>
  <c r="AC37" i="40" s="1"/>
  <c r="AC10" i="37"/>
  <c r="AC4" i="36"/>
  <c r="AC10" i="35"/>
  <c r="AE11" i="40"/>
  <c r="AE10" i="39"/>
  <c r="AE10" i="38"/>
  <c r="AE17" i="38" s="1"/>
  <c r="AE19" i="38" s="1"/>
  <c r="AE37" i="40" s="1"/>
  <c r="AE10" i="37"/>
  <c r="AE4" i="36"/>
  <c r="AE10" i="35"/>
  <c r="AG11" i="40"/>
  <c r="AG10" i="39"/>
  <c r="AG10" i="38"/>
  <c r="AG17" i="38" s="1"/>
  <c r="AG19" i="38" s="1"/>
  <c r="AG37" i="40" s="1"/>
  <c r="AG10" i="37"/>
  <c r="AG4" i="36"/>
  <c r="AG10" i="35"/>
  <c r="AI11" i="40"/>
  <c r="AI10" i="39"/>
  <c r="AI10" i="38"/>
  <c r="AI17" i="38" s="1"/>
  <c r="AI19" i="38" s="1"/>
  <c r="AI37" i="40" s="1"/>
  <c r="AI10" i="37"/>
  <c r="AI4" i="36"/>
  <c r="AI10" i="35"/>
  <c r="AK11" i="40"/>
  <c r="AK10" i="39"/>
  <c r="AK10" i="38"/>
  <c r="AK17" i="38" s="1"/>
  <c r="AK10" i="37"/>
  <c r="AK4" i="36"/>
  <c r="AK10" i="35"/>
  <c r="AM11" i="40"/>
  <c r="AM10" i="39"/>
  <c r="AM10" i="38"/>
  <c r="AM17" i="38" s="1"/>
  <c r="AM19" i="38" s="1"/>
  <c r="AM37" i="40" s="1"/>
  <c r="AM10" i="37"/>
  <c r="AM4" i="36"/>
  <c r="AM10" i="35"/>
  <c r="AO11" i="40"/>
  <c r="AO10" i="39"/>
  <c r="AO10" i="38"/>
  <c r="AO17" i="38" s="1"/>
  <c r="AO19" i="38" s="1"/>
  <c r="AO37" i="40" s="1"/>
  <c r="AO10" i="37"/>
  <c r="AO4" i="36"/>
  <c r="AO10" i="35"/>
  <c r="AQ11" i="40"/>
  <c r="AQ10" i="39"/>
  <c r="AQ10" i="38"/>
  <c r="AQ17" i="38" s="1"/>
  <c r="AQ19" i="38" s="1"/>
  <c r="AQ37" i="40" s="1"/>
  <c r="AQ10" i="37"/>
  <c r="AQ4" i="36"/>
  <c r="AQ10" i="35"/>
  <c r="AS11" i="40"/>
  <c r="AS10" i="39"/>
  <c r="AS10" i="38"/>
  <c r="AS17" i="38" s="1"/>
  <c r="AS19" i="38" s="1"/>
  <c r="AS37" i="40" s="1"/>
  <c r="AS10" i="37"/>
  <c r="AS4" i="36"/>
  <c r="AS10" i="35"/>
  <c r="AU11" i="40"/>
  <c r="AU10" i="39"/>
  <c r="AU10" i="38"/>
  <c r="AU17" i="38" s="1"/>
  <c r="AU19" i="38" s="1"/>
  <c r="AU37" i="40" s="1"/>
  <c r="AU10" i="37"/>
  <c r="AU4" i="36"/>
  <c r="AU10" i="35"/>
  <c r="AW11" i="40"/>
  <c r="AW10" i="39"/>
  <c r="AW10" i="38"/>
  <c r="AW17" i="38" s="1"/>
  <c r="AW19" i="38" s="1"/>
  <c r="AW37" i="40" s="1"/>
  <c r="AW10" i="37"/>
  <c r="AW4" i="36"/>
  <c r="AW10" i="35"/>
  <c r="AY11" i="40"/>
  <c r="AY10" i="39"/>
  <c r="AY10" i="38"/>
  <c r="AY17" i="38" s="1"/>
  <c r="AY19" i="38" s="1"/>
  <c r="AY37" i="40" s="1"/>
  <c r="AY10" i="37"/>
  <c r="AY4" i="36"/>
  <c r="AY10" i="35"/>
  <c r="BA11" i="40"/>
  <c r="BA10" i="39"/>
  <c r="BA10" i="38"/>
  <c r="BA17" i="38" s="1"/>
  <c r="BA19" i="38" s="1"/>
  <c r="BA37" i="40" s="1"/>
  <c r="BA10" i="37"/>
  <c r="BA4" i="36"/>
  <c r="BA10" i="35"/>
  <c r="BC11" i="40"/>
  <c r="BC10" i="39"/>
  <c r="BC10" i="38"/>
  <c r="BC17" i="38" s="1"/>
  <c r="BC19" i="38" s="1"/>
  <c r="BC37" i="40" s="1"/>
  <c r="BC10" i="37"/>
  <c r="BC4" i="36"/>
  <c r="BC10" i="35"/>
  <c r="BE11" i="40"/>
  <c r="BE10" i="39"/>
  <c r="BE10" i="38"/>
  <c r="BE17" i="38" s="1"/>
  <c r="BE19" i="38" s="1"/>
  <c r="BE37" i="40" s="1"/>
  <c r="BE10" i="37"/>
  <c r="BE4" i="36"/>
  <c r="BE10" i="35"/>
  <c r="F11" i="40"/>
  <c r="F10" i="39"/>
  <c r="F10" i="38"/>
  <c r="F17" i="38" s="1"/>
  <c r="F19" i="38" s="1"/>
  <c r="F37" i="40" s="1"/>
  <c r="F10" i="37"/>
  <c r="F4" i="36"/>
  <c r="F10" i="35"/>
  <c r="H11" i="40"/>
  <c r="H10" i="39"/>
  <c r="H10" i="38"/>
  <c r="H17" i="38" s="1"/>
  <c r="H19" i="38" s="1"/>
  <c r="H37" i="40" s="1"/>
  <c r="H10" i="37"/>
  <c r="H4" i="36"/>
  <c r="H10" i="35"/>
  <c r="J10" i="37"/>
  <c r="J4" i="36"/>
  <c r="J11" i="40"/>
  <c r="J10" i="39"/>
  <c r="J10" i="38"/>
  <c r="J17" i="38" s="1"/>
  <c r="J19" i="38" s="1"/>
  <c r="J37" i="40" s="1"/>
  <c r="J10" i="35"/>
  <c r="L11" i="40"/>
  <c r="L10" i="39"/>
  <c r="L10" i="38"/>
  <c r="L17" i="38" s="1"/>
  <c r="L19" i="38" s="1"/>
  <c r="L37" i="40" s="1"/>
  <c r="L10" i="37"/>
  <c r="L4" i="36"/>
  <c r="L10" i="35"/>
  <c r="N11" i="40"/>
  <c r="N10" i="39"/>
  <c r="N10" i="38"/>
  <c r="N17" i="38" s="1"/>
  <c r="N19" i="38" s="1"/>
  <c r="N37" i="40" s="1"/>
  <c r="N10" i="37"/>
  <c r="N4" i="36"/>
  <c r="N10" i="35"/>
  <c r="P11" i="40"/>
  <c r="P10" i="39"/>
  <c r="P10" i="38"/>
  <c r="P17" i="38" s="1"/>
  <c r="P19" i="38" s="1"/>
  <c r="P37" i="40" s="1"/>
  <c r="P10" i="37"/>
  <c r="P4" i="36"/>
  <c r="P10" i="35"/>
  <c r="R10" i="37"/>
  <c r="R4" i="36"/>
  <c r="R11" i="40"/>
  <c r="R10" i="39"/>
  <c r="R10" i="38"/>
  <c r="R17" i="38" s="1"/>
  <c r="R19" i="38" s="1"/>
  <c r="R37" i="40" s="1"/>
  <c r="R10" i="35"/>
  <c r="T11" i="40"/>
  <c r="T10" i="39"/>
  <c r="T10" i="38"/>
  <c r="T17" i="38" s="1"/>
  <c r="T19" i="38" s="1"/>
  <c r="T37" i="40" s="1"/>
  <c r="T10" i="37"/>
  <c r="T4" i="36"/>
  <c r="T10" i="35"/>
  <c r="V11" i="40"/>
  <c r="V10" i="39"/>
  <c r="V10" i="38"/>
  <c r="V17" i="38" s="1"/>
  <c r="V19" i="38" s="1"/>
  <c r="V37" i="40" s="1"/>
  <c r="V10" i="37"/>
  <c r="V4" i="36"/>
  <c r="V10" i="35"/>
  <c r="X11" i="40"/>
  <c r="X10" i="39"/>
  <c r="X10" i="38"/>
  <c r="X17" i="38" s="1"/>
  <c r="X10" i="37"/>
  <c r="X4" i="36"/>
  <c r="X10" i="35"/>
  <c r="Z10" i="37"/>
  <c r="Z4" i="36"/>
  <c r="Z11" i="40"/>
  <c r="Z10" i="39"/>
  <c r="Z10" i="38"/>
  <c r="Z17" i="38" s="1"/>
  <c r="Z19" i="38" s="1"/>
  <c r="Z37" i="40" s="1"/>
  <c r="Z10" i="35"/>
  <c r="AB11" i="40"/>
  <c r="AB10" i="39"/>
  <c r="AB10" i="38"/>
  <c r="AB17" i="38" s="1"/>
  <c r="AB19" i="38" s="1"/>
  <c r="AB37" i="40" s="1"/>
  <c r="AB10" i="37"/>
  <c r="AB4" i="36"/>
  <c r="AB10" i="35"/>
  <c r="AD11" i="40"/>
  <c r="AD10" i="39"/>
  <c r="AD10" i="38"/>
  <c r="AD17" i="38" s="1"/>
  <c r="AD19" i="38" s="1"/>
  <c r="AD37" i="40" s="1"/>
  <c r="AD10" i="37"/>
  <c r="AD4" i="36"/>
  <c r="AD10" i="35"/>
  <c r="AF11" i="40"/>
  <c r="AF10" i="39"/>
  <c r="AF10" i="38"/>
  <c r="AF17" i="38" s="1"/>
  <c r="AF19" i="38" s="1"/>
  <c r="AF37" i="40" s="1"/>
  <c r="AF10" i="37"/>
  <c r="AF4" i="36"/>
  <c r="AF10" i="35"/>
  <c r="AH10" i="37"/>
  <c r="AH4" i="36"/>
  <c r="AH11" i="40"/>
  <c r="AH10" i="39"/>
  <c r="AH10" i="38"/>
  <c r="AH17" i="38" s="1"/>
  <c r="AH19" i="38" s="1"/>
  <c r="AH37" i="40" s="1"/>
  <c r="AH10" i="35"/>
  <c r="AJ11" i="40"/>
  <c r="AJ10" i="39"/>
  <c r="AJ10" i="38"/>
  <c r="AJ17" i="38" s="1"/>
  <c r="AJ19" i="38" s="1"/>
  <c r="AJ37" i="40" s="1"/>
  <c r="AJ10" i="37"/>
  <c r="AJ4" i="36"/>
  <c r="AJ10" i="35"/>
  <c r="AL11" i="40"/>
  <c r="AL10" i="39"/>
  <c r="AL10" i="38"/>
  <c r="AL17" i="38" s="1"/>
  <c r="AL19" i="38" s="1"/>
  <c r="AL37" i="40" s="1"/>
  <c r="AL10" i="37"/>
  <c r="AL4" i="36"/>
  <c r="AL10" i="35"/>
  <c r="AN11" i="40"/>
  <c r="AN10" i="39"/>
  <c r="AN10" i="38"/>
  <c r="AN17" i="38" s="1"/>
  <c r="AN19" i="38" s="1"/>
  <c r="AN37" i="40" s="1"/>
  <c r="AN10" i="37"/>
  <c r="AN4" i="36"/>
  <c r="AN10" i="35"/>
  <c r="AP10" i="37"/>
  <c r="AP11" i="40"/>
  <c r="AP10" i="39"/>
  <c r="AP10" i="38"/>
  <c r="AP17" i="38" s="1"/>
  <c r="AP19" i="38" s="1"/>
  <c r="AP37" i="40" s="1"/>
  <c r="AP4" i="36"/>
  <c r="AP10" i="35"/>
  <c r="AR11" i="40"/>
  <c r="AR10" i="39"/>
  <c r="AR10" i="38"/>
  <c r="AR17" i="38" s="1"/>
  <c r="AR19" i="38" s="1"/>
  <c r="AR37" i="40" s="1"/>
  <c r="AR10" i="37"/>
  <c r="AR4" i="36"/>
  <c r="AR10" i="35"/>
  <c r="AT11" i="40"/>
  <c r="AT10" i="39"/>
  <c r="AT10" i="38"/>
  <c r="AT17" i="38" s="1"/>
  <c r="AT19" i="38" s="1"/>
  <c r="AT37" i="40" s="1"/>
  <c r="AT10" i="37"/>
  <c r="AT4" i="36"/>
  <c r="AT10" i="35"/>
  <c r="AV11" i="40"/>
  <c r="AV10" i="39"/>
  <c r="AV10" i="38"/>
  <c r="AV17" i="38" s="1"/>
  <c r="AV19" i="38" s="1"/>
  <c r="AV37" i="40" s="1"/>
  <c r="AV10" i="37"/>
  <c r="AV4" i="36"/>
  <c r="AV10" i="35"/>
  <c r="AX10" i="37"/>
  <c r="AX11" i="40"/>
  <c r="AX10" i="39"/>
  <c r="AX10" i="38"/>
  <c r="AX17" i="38" s="1"/>
  <c r="AX19" i="38" s="1"/>
  <c r="AX37" i="40" s="1"/>
  <c r="AX4" i="36"/>
  <c r="AX10" i="35"/>
  <c r="AZ11" i="40"/>
  <c r="AZ10" i="39"/>
  <c r="AZ10" i="38"/>
  <c r="AZ17" i="38" s="1"/>
  <c r="AZ19" i="38" s="1"/>
  <c r="AZ37" i="40" s="1"/>
  <c r="AZ10" i="37"/>
  <c r="AZ4" i="36"/>
  <c r="AZ10" i="35"/>
  <c r="BB11" i="40"/>
  <c r="BB10" i="39"/>
  <c r="BB10" i="38"/>
  <c r="BB17" i="38" s="1"/>
  <c r="BB19" i="38" s="1"/>
  <c r="BB37" i="40" s="1"/>
  <c r="BB10" i="37"/>
  <c r="BB4" i="36"/>
  <c r="BB10" i="35"/>
  <c r="BD11" i="40"/>
  <c r="BD10" i="39"/>
  <c r="BD10" i="38"/>
  <c r="BD17" i="38" s="1"/>
  <c r="BD19" i="38" s="1"/>
  <c r="BD37" i="40" s="1"/>
  <c r="BD10" i="37"/>
  <c r="BD4"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4" i="36"/>
  <c r="BG10" i="35"/>
  <c r="BF10" i="37"/>
  <c r="BF11" i="40"/>
  <c r="BF10" i="39"/>
  <c r="BF10" i="38"/>
  <c r="BF4" i="36"/>
  <c r="BF10" i="35"/>
  <c r="BH11" i="40"/>
  <c r="BH10" i="39"/>
  <c r="BH10" i="38"/>
  <c r="BH10" i="37"/>
  <c r="BH4"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<sst xmlns="http://schemas.openxmlformats.org/spreadsheetml/2006/main" count="5597" uniqueCount="821">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</sst>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4" fontId="0" fillId="0" borderId="1" xfId="0" applyNumberFormat="1" applyFill="1" applyBorder="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5" t="s">
        <v>609</v>
      </c>
    </row>
    <row r="4" spans="1:3" ht="21" x14ac:dyDescent="0.35">
      <c r="B4" s="194" t="s">
        <v>620</v>
      </c>
      <c r="C4" s="156"/>
    </row>
    <row r="5" spans="1:3" x14ac:dyDescent="0.25">
      <c r="C5" s="156"/>
    </row>
    <row r="6" spans="1:3" x14ac:dyDescent="0.25">
      <c r="A6" s="65">
        <v>1</v>
      </c>
      <c r="B6" s="7" t="s">
        <v>610</v>
      </c>
      <c r="C6" s="162"/>
    </row>
    <row r="7" spans="1:3" x14ac:dyDescent="0.25">
      <c r="A7" s="156">
        <v>1.1000000000000001</v>
      </c>
      <c r="B7" t="s">
        <v>610</v>
      </c>
      <c r="C7" s="163" t="s">
        <v>610</v>
      </c>
    </row>
    <row r="8" spans="1:3" x14ac:dyDescent="0.25">
      <c r="A8" s="156"/>
      <c r="C8" s="164"/>
    </row>
    <row r="9" spans="1:3" x14ac:dyDescent="0.25">
      <c r="A9" s="65">
        <v>2</v>
      </c>
      <c r="B9" s="7" t="s">
        <v>614</v>
      </c>
      <c r="C9" s="164"/>
    </row>
    <row r="10" spans="1:3" x14ac:dyDescent="0.25">
      <c r="A10" s="156">
        <v>2.1</v>
      </c>
      <c r="B10" t="s">
        <v>621</v>
      </c>
      <c r="C10" s="165" t="s">
        <v>635</v>
      </c>
    </row>
    <row r="11" spans="1:3" x14ac:dyDescent="0.25">
      <c r="A11" s="156">
        <v>2.2000000000000002</v>
      </c>
      <c r="B11" t="s">
        <v>622</v>
      </c>
      <c r="C11" s="166" t="s">
        <v>636</v>
      </c>
    </row>
    <row r="12" spans="1:3" x14ac:dyDescent="0.25">
      <c r="A12" s="156">
        <v>2.2999999999999998</v>
      </c>
      <c r="B12" t="s">
        <v>658</v>
      </c>
      <c r="C12" s="166" t="s">
        <v>660</v>
      </c>
    </row>
    <row r="13" spans="1:3" x14ac:dyDescent="0.25">
      <c r="A13" s="156">
        <v>2.4</v>
      </c>
      <c r="B13" t="s">
        <v>611</v>
      </c>
      <c r="C13" s="166" t="s">
        <v>611</v>
      </c>
    </row>
    <row r="14" spans="1:3" x14ac:dyDescent="0.25">
      <c r="A14" s="156">
        <v>2.5</v>
      </c>
      <c r="B14" t="s">
        <v>612</v>
      </c>
      <c r="C14" s="166" t="s">
        <v>612</v>
      </c>
    </row>
    <row r="15" spans="1:3" x14ac:dyDescent="0.25">
      <c r="A15" s="156">
        <v>2.6</v>
      </c>
      <c r="B15" t="s">
        <v>637</v>
      </c>
      <c r="C15" s="166" t="s">
        <v>637</v>
      </c>
    </row>
    <row r="16" spans="1:3" x14ac:dyDescent="0.25">
      <c r="A16" s="156">
        <v>2.7</v>
      </c>
      <c r="B16" t="s">
        <v>638</v>
      </c>
      <c r="C16" s="166" t="s">
        <v>639</v>
      </c>
    </row>
    <row r="17" spans="1:3" x14ac:dyDescent="0.25">
      <c r="A17" s="156">
        <v>2.8</v>
      </c>
      <c r="B17" t="s">
        <v>557</v>
      </c>
      <c r="C17" s="166" t="s">
        <v>557</v>
      </c>
    </row>
    <row r="18" spans="1:3" x14ac:dyDescent="0.25">
      <c r="A18" s="156">
        <v>2.9</v>
      </c>
      <c r="B18" t="s">
        <v>613</v>
      </c>
      <c r="C18" s="166" t="s">
        <v>613</v>
      </c>
    </row>
    <row r="19" spans="1:3" x14ac:dyDescent="0.25">
      <c r="A19" s="161">
        <v>2.1</v>
      </c>
      <c r="B19" t="s">
        <v>615</v>
      </c>
      <c r="C19" s="166" t="s">
        <v>615</v>
      </c>
    </row>
    <row r="20" spans="1:3" x14ac:dyDescent="0.25">
      <c r="A20" s="161">
        <v>2.11</v>
      </c>
      <c r="B20" t="s">
        <v>616</v>
      </c>
      <c r="C20" s="166" t="s">
        <v>640</v>
      </c>
    </row>
    <row r="21" spans="1:3" x14ac:dyDescent="0.25">
      <c r="A21" s="156"/>
      <c r="C21" s="164"/>
    </row>
    <row r="22" spans="1:3" x14ac:dyDescent="0.25">
      <c r="A22" s="65">
        <v>3</v>
      </c>
      <c r="B22" s="7" t="s">
        <v>617</v>
      </c>
      <c r="C22" s="164"/>
    </row>
    <row r="23" spans="1:3" x14ac:dyDescent="0.25">
      <c r="A23" s="156">
        <v>3.2</v>
      </c>
      <c r="B23" t="s">
        <v>625</v>
      </c>
      <c r="C23" s="167" t="s">
        <v>625</v>
      </c>
    </row>
    <row r="24" spans="1:3" x14ac:dyDescent="0.25">
      <c r="A24" s="156">
        <v>3.3</v>
      </c>
      <c r="B24" t="s">
        <v>624</v>
      </c>
      <c r="C24" s="167" t="s">
        <v>624</v>
      </c>
    </row>
    <row r="25" spans="1:3" x14ac:dyDescent="0.25">
      <c r="A25" s="156">
        <v>3.4</v>
      </c>
      <c r="B25" t="s">
        <v>755</v>
      </c>
      <c r="C25" s="167" t="s">
        <v>755</v>
      </c>
    </row>
    <row r="26" spans="1:3" x14ac:dyDescent="0.25">
      <c r="A26" s="156">
        <v>3.5</v>
      </c>
      <c r="B26" t="s">
        <v>618</v>
      </c>
      <c r="C26" s="167" t="s">
        <v>641</v>
      </c>
    </row>
    <row r="27" spans="1:3" x14ac:dyDescent="0.25">
      <c r="A27" s="156">
        <v>3.6</v>
      </c>
      <c r="B27" t="s">
        <v>619</v>
      </c>
      <c r="C27" s="167" t="s">
        <v>754</v>
      </c>
    </row>
    <row r="28" spans="1:3" x14ac:dyDescent="0.25">
      <c r="A28" s="156"/>
      <c r="C28" s="164"/>
    </row>
    <row r="29" spans="1:3" x14ac:dyDescent="0.25">
      <c r="A29" s="65">
        <v>4</v>
      </c>
      <c r="B29" s="7" t="s">
        <v>627</v>
      </c>
      <c r="C29" s="164"/>
    </row>
    <row r="30" spans="1:3" x14ac:dyDescent="0.25">
      <c r="A30" s="156">
        <v>4.0999999999999996</v>
      </c>
      <c r="B30" t="s">
        <v>626</v>
      </c>
      <c r="C30" s="168" t="s">
        <v>623</v>
      </c>
    </row>
    <row r="31" spans="1:3" x14ac:dyDescent="0.25">
      <c r="A31" s="156">
        <v>4.2</v>
      </c>
      <c r="B31" t="s">
        <v>659</v>
      </c>
      <c r="C31" s="168" t="s">
        <v>659</v>
      </c>
    </row>
    <row r="32" spans="1:3" x14ac:dyDescent="0.25">
      <c r="A32" s="156"/>
      <c r="C32" s="164"/>
    </row>
    <row r="33" spans="1:3" x14ac:dyDescent="0.25">
      <c r="A33" s="65">
        <v>5</v>
      </c>
      <c r="B33" s="7" t="s">
        <v>282</v>
      </c>
      <c r="C33" s="164"/>
    </row>
    <row r="34" spans="1:3" x14ac:dyDescent="0.25">
      <c r="A34" s="156">
        <v>5.0999999999999996</v>
      </c>
      <c r="B34" t="s">
        <v>756</v>
      </c>
      <c r="C34" s="170" t="s">
        <v>756</v>
      </c>
    </row>
    <row r="35" spans="1:3" x14ac:dyDescent="0.25">
      <c r="A35" s="156">
        <v>5.2</v>
      </c>
      <c r="B35" t="s">
        <v>634</v>
      </c>
      <c r="C35" s="169" t="s">
        <v>578</v>
      </c>
    </row>
    <row r="36" spans="1:3" x14ac:dyDescent="0.25">
      <c r="A36" s="156">
        <v>5.3</v>
      </c>
      <c r="B36" t="s">
        <v>630</v>
      </c>
      <c r="C36" s="170" t="s">
        <v>642</v>
      </c>
    </row>
    <row r="37" spans="1:3" x14ac:dyDescent="0.25">
      <c r="A37" s="156">
        <v>5.4</v>
      </c>
      <c r="B37" t="s">
        <v>631</v>
      </c>
      <c r="C37" s="170" t="s">
        <v>643</v>
      </c>
    </row>
    <row r="38" spans="1:3" x14ac:dyDescent="0.25">
      <c r="A38" s="156">
        <v>5.5</v>
      </c>
      <c r="B38" t="s">
        <v>632</v>
      </c>
      <c r="C38" s="170" t="s">
        <v>644</v>
      </c>
    </row>
    <row r="39" spans="1:3" x14ac:dyDescent="0.25">
      <c r="A39" s="156">
        <v>5.6</v>
      </c>
      <c r="B39" t="s">
        <v>633</v>
      </c>
      <c r="C39" s="169" t="s">
        <v>645</v>
      </c>
    </row>
    <row r="40" spans="1:3" x14ac:dyDescent="0.25">
      <c r="A40" s="156">
        <v>5.7</v>
      </c>
      <c r="B40" t="s">
        <v>628</v>
      </c>
      <c r="C40" s="170" t="s">
        <v>646</v>
      </c>
    </row>
    <row r="41" spans="1:3" x14ac:dyDescent="0.25">
      <c r="A41" s="156">
        <v>5.8</v>
      </c>
      <c r="B41" t="s">
        <v>629</v>
      </c>
      <c r="C41" s="170" t="s">
        <v>629</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815</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815</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815</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815</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759</v>
      </c>
    </row>
    <row r="4" spans="1:3" ht="15.75" thickBot="1" x14ac:dyDescent="0.3">
      <c r="B4" t="s">
        <v>608</v>
      </c>
    </row>
    <row r="5" spans="1:3" ht="15.75" thickBot="1" x14ac:dyDescent="0.3">
      <c r="B5" s="174"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5"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608</v>
      </c>
    </row>
    <row r="5" spans="1:3" ht="15.75" thickBot="1" x14ac:dyDescent="0.3">
      <c r="B5" s="174"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'6.1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'6.1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'6.1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'6.1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758</v>
      </c>
    </row>
    <row r="4" spans="1:5" ht="15.75" thickBot="1" x14ac:dyDescent="0.3">
      <c r="B4" t="s">
        <v>608</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820</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6">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6">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6">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6">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651</v>
      </c>
      <c r="B1" s="7"/>
    </row>
    <row r="3" spans="1:3" ht="15.75" thickBot="1" x14ac:dyDescent="0.3"/>
    <row r="4" spans="1:3" ht="15.75" thickBot="1" x14ac:dyDescent="0.3">
      <c r="B4" s="174"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763</v>
      </c>
      <c r="C47" s="173">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805</v>
      </c>
      <c r="B2" s="4">
        <f>'Tableau fonctionnelle'!C7</f>
        <v>31469284.439999998</v>
      </c>
    </row>
    <row r="3" spans="1:2" x14ac:dyDescent="0.25">
      <c r="A3" s="78" t="s">
        <v>806</v>
      </c>
      <c r="B3" s="4">
        <f>'Tableau fonctionnelle'!C11</f>
        <v>11136519.650000002</v>
      </c>
    </row>
    <row r="4" spans="1:2" x14ac:dyDescent="0.25">
      <c r="A4" s="78" t="s">
        <v>807</v>
      </c>
      <c r="B4" s="4">
        <f>'Tableau fonctionnelle'!C15</f>
        <v>102323379.91000003</v>
      </c>
    </row>
    <row r="5" spans="1:2" x14ac:dyDescent="0.25">
      <c r="A5" s="78" t="s">
        <v>808</v>
      </c>
      <c r="B5" s="4">
        <f>'Tableau fonctionnelle'!C19</f>
        <v>14985535.060000002</v>
      </c>
    </row>
    <row r="6" spans="1:2" x14ac:dyDescent="0.25">
      <c r="A6" s="78" t="s">
        <v>809</v>
      </c>
      <c r="B6" s="4">
        <f>'Tableau fonctionnelle'!C23</f>
        <v>804616.3899999999</v>
      </c>
    </row>
    <row r="7" spans="1:2" x14ac:dyDescent="0.25">
      <c r="A7" s="78" t="s">
        <v>810</v>
      </c>
      <c r="B7" s="4">
        <f>'Tableau fonctionnelle'!C27</f>
        <v>91044890.049999997</v>
      </c>
    </row>
    <row r="8" spans="1:2" x14ac:dyDescent="0.25">
      <c r="A8" s="78" t="s">
        <v>811</v>
      </c>
      <c r="B8" s="4">
        <f>'Tableau fonctionnelle'!C31</f>
        <v>27784761.320000011</v>
      </c>
    </row>
    <row r="9" spans="1:2" x14ac:dyDescent="0.25">
      <c r="A9" s="78" t="s">
        <v>812</v>
      </c>
      <c r="B9" s="4">
        <f>'Tableau fonctionnelle'!C35</f>
        <v>40133119.179999992</v>
      </c>
    </row>
    <row r="10" spans="1:2" x14ac:dyDescent="0.25">
      <c r="A10" s="78" t="s">
        <v>813</v>
      </c>
      <c r="B10" s="4">
        <f>'Tableau fonctionnelle'!C39</f>
        <v>38853071.929999985</v>
      </c>
    </row>
    <row r="11" spans="1:2" x14ac:dyDescent="0.25">
      <c r="A11" s="78" t="s">
        <v>814</v>
      </c>
      <c r="B11" s="4">
        <f>'Tableau fonctionnelle'!C43</f>
        <v>42749162.500000007</v>
      </c>
    </row>
    <row r="12" spans="1:2" x14ac:dyDescent="0.25">
      <c r="B12" s="4"/>
    </row>
    <row r="13" spans="1:2" x14ac:dyDescent="0.25">
      <c r="A13" s="7" t="s">
        <v>137</v>
      </c>
      <c r="B13" s="4"/>
    </row>
    <row r="14" spans="1:2" x14ac:dyDescent="0.25">
      <c r="A14" s="78" t="s">
        <v>805</v>
      </c>
      <c r="B14" s="4">
        <f>'Tableau fonctionnelle'!C8</f>
        <v>4024189.8900000006</v>
      </c>
    </row>
    <row r="15" spans="1:2" x14ac:dyDescent="0.25">
      <c r="A15" s="78" t="s">
        <v>806</v>
      </c>
      <c r="B15" s="4">
        <f>'Tableau fonctionnelle'!C12</f>
        <v>7519359.5800000019</v>
      </c>
    </row>
    <row r="16" spans="1:2" x14ac:dyDescent="0.25">
      <c r="A16" s="78" t="s">
        <v>807</v>
      </c>
      <c r="B16" s="4">
        <f>'Tableau fonctionnelle'!C16</f>
        <v>6742848.660000002</v>
      </c>
    </row>
    <row r="17" spans="1:2" x14ac:dyDescent="0.25">
      <c r="A17" s="78" t="s">
        <v>808</v>
      </c>
      <c r="B17" s="4">
        <f>'Tableau fonctionnelle'!C20</f>
        <v>2072041.33</v>
      </c>
    </row>
    <row r="18" spans="1:2" x14ac:dyDescent="0.25">
      <c r="A18" s="78" t="s">
        <v>809</v>
      </c>
      <c r="B18" s="4">
        <f>'Tableau fonctionnelle'!C24</f>
        <v>14782.6</v>
      </c>
    </row>
    <row r="19" spans="1:2" x14ac:dyDescent="0.25">
      <c r="A19" s="78" t="s">
        <v>810</v>
      </c>
      <c r="B19" s="4">
        <f>'Tableau fonctionnelle'!C28</f>
        <v>34650660.200000003</v>
      </c>
    </row>
    <row r="20" spans="1:2" x14ac:dyDescent="0.25">
      <c r="A20" s="78" t="s">
        <v>811</v>
      </c>
      <c r="B20" s="4">
        <f>'Tableau fonctionnelle'!C32</f>
        <v>8078036.5399999991</v>
      </c>
    </row>
    <row r="21" spans="1:2" x14ac:dyDescent="0.25">
      <c r="A21" s="78" t="s">
        <v>812</v>
      </c>
      <c r="B21" s="4">
        <f>'Tableau fonctionnelle'!C36</f>
        <v>42822551.390000001</v>
      </c>
    </row>
    <row r="22" spans="1:2" x14ac:dyDescent="0.25">
      <c r="A22" s="78" t="s">
        <v>813</v>
      </c>
      <c r="B22" s="4">
        <f>'Tableau fonctionnelle'!C40</f>
        <v>39185009.339999996</v>
      </c>
    </row>
    <row r="23" spans="1:2" x14ac:dyDescent="0.25">
      <c r="A23" s="78" t="s">
        <v>814</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757</v>
      </c>
      <c r="H2" s="212"/>
      <c r="I2" s="212"/>
      <c r="J2" s="212"/>
      <c r="K2" s="213"/>
      <c r="M2" s="193">
        <v>1</v>
      </c>
      <c r="N2" s="31" t="s">
        <v>52</v>
      </c>
      <c r="O2" s="32">
        <f>C34</f>
        <v>1895</v>
      </c>
    </row>
    <row r="3" spans="1:15" x14ac:dyDescent="0.2">
      <c r="A3" s="27">
        <v>2</v>
      </c>
      <c r="B3" s="28" t="s">
        <v>18</v>
      </c>
      <c r="C3" s="29">
        <v>270</v>
      </c>
      <c r="D3" s="12"/>
      <c r="M3" s="193">
        <v>2</v>
      </c>
      <c r="N3" s="31" t="s">
        <v>32</v>
      </c>
      <c r="O3" s="32">
        <f>C36</f>
        <v>1241</v>
      </c>
    </row>
    <row r="4" spans="1:15" x14ac:dyDescent="0.2">
      <c r="A4" s="27">
        <v>3</v>
      </c>
      <c r="B4" s="28" t="s">
        <v>57</v>
      </c>
      <c r="C4" s="29">
        <v>485</v>
      </c>
      <c r="D4" s="12"/>
      <c r="M4" s="193">
        <v>3</v>
      </c>
      <c r="N4" s="31" t="s">
        <v>29</v>
      </c>
      <c r="O4" s="32">
        <f>C37</f>
        <v>119</v>
      </c>
    </row>
    <row r="5" spans="1:15" x14ac:dyDescent="0.2">
      <c r="A5" s="27">
        <v>4</v>
      </c>
      <c r="B5" s="28" t="s">
        <v>53</v>
      </c>
      <c r="C5" s="29">
        <v>446</v>
      </c>
      <c r="D5" s="12"/>
      <c r="F5" s="20" t="s">
        <v>72</v>
      </c>
      <c r="M5" s="193">
        <v>4</v>
      </c>
      <c r="N5" s="28" t="s">
        <v>56</v>
      </c>
      <c r="O5" s="29">
        <f>C2</f>
        <v>923</v>
      </c>
    </row>
    <row r="6" spans="1:15" x14ac:dyDescent="0.2">
      <c r="A6" s="27">
        <v>5</v>
      </c>
      <c r="B6" s="28" t="s">
        <v>33</v>
      </c>
      <c r="C6" s="29">
        <v>3631</v>
      </c>
      <c r="D6" s="12"/>
      <c r="F6" s="22" t="s">
        <v>28</v>
      </c>
      <c r="G6" s="22"/>
      <c r="H6" s="23">
        <f>SUM(C2:C20)</f>
        <v>38954</v>
      </c>
      <c r="M6" s="193">
        <v>5</v>
      </c>
      <c r="N6" s="31" t="s">
        <v>26</v>
      </c>
      <c r="O6" s="32">
        <f>C38</f>
        <v>1195</v>
      </c>
    </row>
    <row r="7" spans="1:15" x14ac:dyDescent="0.2">
      <c r="A7" s="27">
        <v>6</v>
      </c>
      <c r="B7" s="28" t="s">
        <v>10</v>
      </c>
      <c r="C7" s="29">
        <v>3313</v>
      </c>
      <c r="D7" s="12"/>
      <c r="F7" s="34" t="s">
        <v>64</v>
      </c>
      <c r="G7" s="34"/>
      <c r="H7" s="35">
        <f>SUM(C21:C33)</f>
        <v>10479</v>
      </c>
      <c r="M7" s="193">
        <v>6</v>
      </c>
      <c r="N7" s="31" t="s">
        <v>48</v>
      </c>
      <c r="O7" s="32">
        <f>C39</f>
        <v>663</v>
      </c>
    </row>
    <row r="8" spans="1:15" x14ac:dyDescent="0.2">
      <c r="A8" s="27">
        <v>7</v>
      </c>
      <c r="B8" s="28" t="s">
        <v>15</v>
      </c>
      <c r="C8" s="29">
        <v>2644</v>
      </c>
      <c r="D8" s="12"/>
      <c r="F8" s="19" t="s">
        <v>16</v>
      </c>
      <c r="G8" s="19"/>
      <c r="H8" s="33">
        <f>SUM(C34:C54)</f>
        <v>24276</v>
      </c>
      <c r="M8" s="193">
        <v>7</v>
      </c>
      <c r="N8" s="28" t="s">
        <v>18</v>
      </c>
      <c r="O8" s="29">
        <f>C3</f>
        <v>270</v>
      </c>
    </row>
    <row r="9" spans="1:15" x14ac:dyDescent="0.2">
      <c r="A9" s="27">
        <v>8</v>
      </c>
      <c r="B9" s="28" t="s">
        <v>28</v>
      </c>
      <c r="C9" s="30">
        <v>12618</v>
      </c>
      <c r="D9" s="12"/>
      <c r="H9" s="21">
        <f>SUM(H6:H8)</f>
        <v>73709</v>
      </c>
      <c r="M9" s="193">
        <v>8</v>
      </c>
      <c r="N9" s="31" t="s">
        <v>44</v>
      </c>
      <c r="O9" s="32">
        <f>C40</f>
        <v>645</v>
      </c>
    </row>
    <row r="10" spans="1:15" x14ac:dyDescent="0.2">
      <c r="A10" s="27">
        <v>9</v>
      </c>
      <c r="B10" s="28" t="s">
        <v>42</v>
      </c>
      <c r="C10" s="30">
        <v>1371</v>
      </c>
      <c r="D10" s="12"/>
      <c r="M10" s="193">
        <v>9</v>
      </c>
      <c r="N10" s="28" t="s">
        <v>57</v>
      </c>
      <c r="O10" s="29">
        <f>C4</f>
        <v>485</v>
      </c>
    </row>
    <row r="11" spans="1:15" x14ac:dyDescent="0.2">
      <c r="A11" s="27">
        <v>10</v>
      </c>
      <c r="B11" s="28" t="s">
        <v>23</v>
      </c>
      <c r="C11" s="30">
        <v>118</v>
      </c>
      <c r="D11" s="17"/>
      <c r="M11" s="193">
        <v>10</v>
      </c>
      <c r="N11" s="31" t="s">
        <v>37</v>
      </c>
      <c r="O11" s="32">
        <f>C41</f>
        <v>1263</v>
      </c>
    </row>
    <row r="12" spans="1:15" x14ac:dyDescent="0.2">
      <c r="A12" s="27">
        <v>11</v>
      </c>
      <c r="B12" s="28" t="s">
        <v>22</v>
      </c>
      <c r="C12" s="30">
        <v>7167</v>
      </c>
      <c r="D12" s="17"/>
      <c r="M12" s="193">
        <v>11</v>
      </c>
      <c r="N12" s="31" t="s">
        <v>51</v>
      </c>
      <c r="O12" s="32">
        <f>C42</f>
        <v>740</v>
      </c>
    </row>
    <row r="13" spans="1:15" x14ac:dyDescent="0.2">
      <c r="A13" s="27">
        <v>12</v>
      </c>
      <c r="B13" s="28" t="s">
        <v>13</v>
      </c>
      <c r="C13" s="30">
        <v>528</v>
      </c>
      <c r="D13" s="17"/>
      <c r="M13" s="193">
        <v>12</v>
      </c>
      <c r="N13" s="31" t="s">
        <v>8</v>
      </c>
      <c r="O13" s="32">
        <f>C43</f>
        <v>1028</v>
      </c>
    </row>
    <row r="14" spans="1:15" x14ac:dyDescent="0.2">
      <c r="A14" s="27">
        <v>13</v>
      </c>
      <c r="B14" s="28" t="s">
        <v>17</v>
      </c>
      <c r="C14" s="30">
        <v>108</v>
      </c>
      <c r="D14" s="17"/>
      <c r="M14" s="193">
        <v>13</v>
      </c>
      <c r="N14" s="28" t="s">
        <v>53</v>
      </c>
      <c r="O14" s="29">
        <f>C5</f>
        <v>446</v>
      </c>
    </row>
    <row r="15" spans="1:15" x14ac:dyDescent="0.2">
      <c r="A15" s="27">
        <v>14</v>
      </c>
      <c r="B15" s="28" t="s">
        <v>43</v>
      </c>
      <c r="C15" s="30">
        <v>415</v>
      </c>
      <c r="D15" s="17"/>
      <c r="M15" s="193">
        <v>14</v>
      </c>
      <c r="N15" s="31" t="s">
        <v>24</v>
      </c>
      <c r="O15" s="32">
        <f>C44</f>
        <v>314</v>
      </c>
    </row>
    <row r="16" spans="1:15" x14ac:dyDescent="0.2">
      <c r="A16" s="27">
        <v>15</v>
      </c>
      <c r="B16" s="28" t="s">
        <v>40</v>
      </c>
      <c r="C16" s="30">
        <v>349</v>
      </c>
      <c r="D16" s="17"/>
      <c r="M16" s="193">
        <v>15</v>
      </c>
      <c r="N16" s="31" t="s">
        <v>9</v>
      </c>
      <c r="O16" s="32">
        <f>C45</f>
        <v>2400</v>
      </c>
    </row>
    <row r="17" spans="1:15" x14ac:dyDescent="0.2">
      <c r="A17" s="27">
        <v>16</v>
      </c>
      <c r="B17" s="28" t="s">
        <v>31</v>
      </c>
      <c r="C17" s="30">
        <v>687</v>
      </c>
      <c r="D17" s="17"/>
      <c r="M17" s="193">
        <v>16</v>
      </c>
      <c r="N17" s="28" t="s">
        <v>33</v>
      </c>
      <c r="O17" s="29">
        <f>C6</f>
        <v>3631</v>
      </c>
    </row>
    <row r="18" spans="1:15" x14ac:dyDescent="0.2">
      <c r="A18" s="27">
        <v>17</v>
      </c>
      <c r="B18" s="28" t="s">
        <v>12</v>
      </c>
      <c r="C18" s="30">
        <v>255</v>
      </c>
      <c r="D18" s="17"/>
      <c r="M18" s="193">
        <v>17</v>
      </c>
      <c r="N18" s="28" t="s">
        <v>10</v>
      </c>
      <c r="O18" s="29">
        <f>C7</f>
        <v>3313</v>
      </c>
    </row>
    <row r="19" spans="1:15" x14ac:dyDescent="0.2">
      <c r="A19" s="27">
        <v>18</v>
      </c>
      <c r="B19" s="28" t="s">
        <v>59</v>
      </c>
      <c r="C19" s="30">
        <v>436</v>
      </c>
      <c r="D19" s="17"/>
      <c r="M19" s="193">
        <v>18</v>
      </c>
      <c r="N19" s="31" t="s">
        <v>62</v>
      </c>
      <c r="O19" s="32">
        <f>C46</f>
        <v>755</v>
      </c>
    </row>
    <row r="20" spans="1:15" x14ac:dyDescent="0.2">
      <c r="A20" s="27">
        <v>19</v>
      </c>
      <c r="B20" s="28" t="s">
        <v>27</v>
      </c>
      <c r="C20" s="30">
        <v>3190</v>
      </c>
      <c r="D20" s="17"/>
      <c r="M20" s="193">
        <v>19</v>
      </c>
      <c r="N20" s="28" t="s">
        <v>15</v>
      </c>
      <c r="O20" s="29">
        <f>C8</f>
        <v>2644</v>
      </c>
    </row>
    <row r="21" spans="1:15" x14ac:dyDescent="0.2">
      <c r="A21" s="24">
        <v>20</v>
      </c>
      <c r="B21" s="25" t="s">
        <v>30</v>
      </c>
      <c r="C21" s="26">
        <v>324</v>
      </c>
      <c r="D21" s="17"/>
      <c r="M21" s="193">
        <v>20</v>
      </c>
      <c r="N21" s="31" t="s">
        <v>46</v>
      </c>
      <c r="O21" s="32">
        <f>C47</f>
        <v>181</v>
      </c>
    </row>
    <row r="22" spans="1:15" x14ac:dyDescent="0.2">
      <c r="A22" s="24">
        <v>21</v>
      </c>
      <c r="B22" s="25" t="s">
        <v>20</v>
      </c>
      <c r="C22" s="26">
        <v>1246</v>
      </c>
      <c r="D22" s="17"/>
      <c r="M22" s="193">
        <v>21</v>
      </c>
      <c r="N22" s="28" t="s">
        <v>28</v>
      </c>
      <c r="O22" s="30">
        <f>C9</f>
        <v>12618</v>
      </c>
    </row>
    <row r="23" spans="1:15" x14ac:dyDescent="0.2">
      <c r="A23" s="24">
        <v>22</v>
      </c>
      <c r="B23" s="25" t="s">
        <v>45</v>
      </c>
      <c r="C23" s="26">
        <v>1528</v>
      </c>
      <c r="D23" s="17"/>
      <c r="E23" s="12"/>
      <c r="M23" s="193">
        <v>22</v>
      </c>
      <c r="N23" s="28" t="s">
        <v>42</v>
      </c>
      <c r="O23" s="30">
        <f>C10</f>
        <v>1371</v>
      </c>
    </row>
    <row r="24" spans="1:15" x14ac:dyDescent="0.2">
      <c r="A24" s="24">
        <v>23</v>
      </c>
      <c r="B24" s="25" t="s">
        <v>71</v>
      </c>
      <c r="C24" s="26">
        <v>96</v>
      </c>
      <c r="D24" s="17"/>
      <c r="M24" s="193">
        <v>23</v>
      </c>
      <c r="N24" s="28" t="s">
        <v>23</v>
      </c>
      <c r="O24" s="30">
        <f>C11</f>
        <v>118</v>
      </c>
    </row>
    <row r="25" spans="1:15" x14ac:dyDescent="0.2">
      <c r="A25" s="24">
        <v>24</v>
      </c>
      <c r="B25" s="25" t="s">
        <v>39</v>
      </c>
      <c r="C25" s="26">
        <v>149</v>
      </c>
      <c r="D25" s="17"/>
      <c r="M25" s="193">
        <v>24</v>
      </c>
      <c r="N25" s="31" t="s">
        <v>35</v>
      </c>
      <c r="O25" s="32">
        <f>C48</f>
        <v>347</v>
      </c>
    </row>
    <row r="26" spans="1:15" x14ac:dyDescent="0.2">
      <c r="A26" s="24">
        <v>25</v>
      </c>
      <c r="B26" s="25" t="s">
        <v>19</v>
      </c>
      <c r="C26" s="26">
        <v>516</v>
      </c>
      <c r="D26" s="17"/>
      <c r="M26" s="193">
        <v>25</v>
      </c>
      <c r="N26" s="31" t="s">
        <v>49</v>
      </c>
      <c r="O26" s="32">
        <f>C49</f>
        <v>1690</v>
      </c>
    </row>
    <row r="27" spans="1:15" x14ac:dyDescent="0.2">
      <c r="A27" s="24">
        <v>26</v>
      </c>
      <c r="B27" s="25" t="s">
        <v>41</v>
      </c>
      <c r="C27" s="26">
        <v>671</v>
      </c>
      <c r="D27" s="17"/>
      <c r="M27" s="193">
        <v>26</v>
      </c>
      <c r="N27" s="31" t="s">
        <v>47</v>
      </c>
      <c r="O27" s="32">
        <f>C50</f>
        <v>387</v>
      </c>
    </row>
    <row r="28" spans="1:15" x14ac:dyDescent="0.2">
      <c r="A28" s="24">
        <v>27</v>
      </c>
      <c r="B28" s="25" t="s">
        <v>36</v>
      </c>
      <c r="C28" s="26">
        <v>572</v>
      </c>
      <c r="D28" s="17"/>
      <c r="M28" s="193">
        <v>27</v>
      </c>
      <c r="N28" s="31" t="s">
        <v>58</v>
      </c>
      <c r="O28" s="32">
        <f>C51</f>
        <v>1096</v>
      </c>
    </row>
    <row r="29" spans="1:15" x14ac:dyDescent="0.2">
      <c r="A29" s="24">
        <v>28</v>
      </c>
      <c r="B29" s="25" t="s">
        <v>7</v>
      </c>
      <c r="C29" s="26">
        <v>490</v>
      </c>
      <c r="D29" s="17"/>
      <c r="M29" s="193">
        <v>28</v>
      </c>
      <c r="N29" s="28" t="s">
        <v>22</v>
      </c>
      <c r="O29" s="30">
        <f>C12</f>
        <v>7167</v>
      </c>
    </row>
    <row r="30" spans="1:15" x14ac:dyDescent="0.2">
      <c r="A30" s="24">
        <v>29</v>
      </c>
      <c r="B30" s="25" t="s">
        <v>55</v>
      </c>
      <c r="C30" s="26">
        <v>1914</v>
      </c>
      <c r="D30" s="17"/>
      <c r="M30" s="193">
        <v>29</v>
      </c>
      <c r="N30" s="31" t="s">
        <v>14</v>
      </c>
      <c r="O30" s="32">
        <f>C35</f>
        <v>1135</v>
      </c>
    </row>
    <row r="31" spans="1:15" x14ac:dyDescent="0.2">
      <c r="A31" s="24">
        <v>30</v>
      </c>
      <c r="B31" s="25" t="s">
        <v>21</v>
      </c>
      <c r="C31" s="26">
        <v>2615</v>
      </c>
      <c r="D31" s="17"/>
      <c r="M31" s="193">
        <v>30</v>
      </c>
      <c r="N31" s="25" t="s">
        <v>71</v>
      </c>
      <c r="O31" s="26">
        <f>C24</f>
        <v>96</v>
      </c>
    </row>
    <row r="32" spans="1:15" x14ac:dyDescent="0.2">
      <c r="A32" s="24">
        <v>31</v>
      </c>
      <c r="B32" s="25" t="s">
        <v>6</v>
      </c>
      <c r="C32" s="26">
        <v>227</v>
      </c>
      <c r="D32" s="17"/>
      <c r="M32" s="193">
        <v>31</v>
      </c>
      <c r="N32" s="25" t="s">
        <v>41</v>
      </c>
      <c r="O32" s="26">
        <f>C27</f>
        <v>671</v>
      </c>
    </row>
    <row r="33" spans="1:15" x14ac:dyDescent="0.2">
      <c r="A33" s="24">
        <v>32</v>
      </c>
      <c r="B33" s="25" t="s">
        <v>34</v>
      </c>
      <c r="C33" s="26">
        <v>131</v>
      </c>
      <c r="D33" s="17"/>
      <c r="M33" s="193">
        <v>32</v>
      </c>
      <c r="N33" s="25" t="s">
        <v>30</v>
      </c>
      <c r="O33" s="26">
        <f>C21</f>
        <v>324</v>
      </c>
    </row>
    <row r="34" spans="1:15" x14ac:dyDescent="0.2">
      <c r="A34" s="19">
        <v>33</v>
      </c>
      <c r="B34" s="31" t="s">
        <v>52</v>
      </c>
      <c r="C34" s="32">
        <v>1895</v>
      </c>
      <c r="D34" s="17"/>
      <c r="M34" s="193">
        <v>33</v>
      </c>
      <c r="N34" s="25" t="s">
        <v>55</v>
      </c>
      <c r="O34" s="26">
        <f>C30</f>
        <v>1914</v>
      </c>
    </row>
    <row r="35" spans="1:15" x14ac:dyDescent="0.2">
      <c r="A35" s="19">
        <v>34</v>
      </c>
      <c r="B35" s="31" t="s">
        <v>14</v>
      </c>
      <c r="C35" s="32">
        <v>1135</v>
      </c>
      <c r="D35" s="17"/>
      <c r="M35" s="193">
        <v>34</v>
      </c>
      <c r="N35" s="25" t="s">
        <v>20</v>
      </c>
      <c r="O35" s="26">
        <f>C22</f>
        <v>1246</v>
      </c>
    </row>
    <row r="36" spans="1:15" x14ac:dyDescent="0.2">
      <c r="A36" s="19">
        <v>35</v>
      </c>
      <c r="B36" s="31" t="s">
        <v>32</v>
      </c>
      <c r="C36" s="32">
        <v>1241</v>
      </c>
      <c r="D36" s="17"/>
      <c r="E36" s="12"/>
      <c r="M36" s="193">
        <v>35</v>
      </c>
      <c r="N36" s="25" t="s">
        <v>45</v>
      </c>
      <c r="O36" s="26">
        <f>C23</f>
        <v>1528</v>
      </c>
    </row>
    <row r="37" spans="1:15" x14ac:dyDescent="0.2">
      <c r="A37" s="19">
        <v>36</v>
      </c>
      <c r="B37" s="31" t="s">
        <v>29</v>
      </c>
      <c r="C37" s="32">
        <v>119</v>
      </c>
      <c r="D37" s="17"/>
      <c r="M37" s="193">
        <v>36</v>
      </c>
      <c r="N37" s="25" t="s">
        <v>39</v>
      </c>
      <c r="O37" s="26">
        <f>C25</f>
        <v>149</v>
      </c>
    </row>
    <row r="38" spans="1:15" x14ac:dyDescent="0.2">
      <c r="A38" s="19">
        <v>37</v>
      </c>
      <c r="B38" s="31" t="s">
        <v>26</v>
      </c>
      <c r="C38" s="32">
        <v>1195</v>
      </c>
      <c r="D38" s="17"/>
      <c r="M38" s="193">
        <v>37</v>
      </c>
      <c r="N38" s="25" t="s">
        <v>19</v>
      </c>
      <c r="O38" s="26">
        <f>C26</f>
        <v>516</v>
      </c>
    </row>
    <row r="39" spans="1:15" x14ac:dyDescent="0.2">
      <c r="A39" s="19">
        <v>38</v>
      </c>
      <c r="B39" s="31" t="s">
        <v>48</v>
      </c>
      <c r="C39" s="32">
        <v>663</v>
      </c>
      <c r="D39" s="17"/>
      <c r="M39" s="193">
        <v>38</v>
      </c>
      <c r="N39" s="31" t="s">
        <v>50</v>
      </c>
      <c r="O39" s="16">
        <f>C52</f>
        <v>188</v>
      </c>
    </row>
    <row r="40" spans="1:15" x14ac:dyDescent="0.2">
      <c r="A40" s="19">
        <v>39</v>
      </c>
      <c r="B40" s="31" t="s">
        <v>44</v>
      </c>
      <c r="C40" s="32">
        <v>645</v>
      </c>
      <c r="D40" s="17"/>
      <c r="M40" s="193">
        <v>39</v>
      </c>
      <c r="N40" s="28" t="s">
        <v>13</v>
      </c>
      <c r="O40" s="30">
        <f>C13</f>
        <v>528</v>
      </c>
    </row>
    <row r="41" spans="1:15" x14ac:dyDescent="0.2">
      <c r="A41" s="19">
        <v>40</v>
      </c>
      <c r="B41" s="31" t="s">
        <v>37</v>
      </c>
      <c r="C41" s="32">
        <v>1263</v>
      </c>
      <c r="D41" s="17"/>
      <c r="M41" s="193">
        <v>40</v>
      </c>
      <c r="N41" s="28" t="s">
        <v>17</v>
      </c>
      <c r="O41" s="30">
        <f>C14</f>
        <v>108</v>
      </c>
    </row>
    <row r="42" spans="1:15" x14ac:dyDescent="0.2">
      <c r="A42" s="19">
        <v>41</v>
      </c>
      <c r="B42" s="31" t="s">
        <v>51</v>
      </c>
      <c r="C42" s="32">
        <v>740</v>
      </c>
      <c r="D42" s="17"/>
      <c r="M42" s="193">
        <v>41</v>
      </c>
      <c r="N42" s="25" t="s">
        <v>36</v>
      </c>
      <c r="O42" s="26">
        <f>C28</f>
        <v>572</v>
      </c>
    </row>
    <row r="43" spans="1:15" x14ac:dyDescent="0.2">
      <c r="A43" s="19">
        <v>42</v>
      </c>
      <c r="B43" s="31" t="s">
        <v>8</v>
      </c>
      <c r="C43" s="32">
        <v>1028</v>
      </c>
      <c r="D43" s="17"/>
      <c r="M43" s="193">
        <v>42</v>
      </c>
      <c r="N43" s="28" t="s">
        <v>43</v>
      </c>
      <c r="O43" s="30">
        <f>C15</f>
        <v>415</v>
      </c>
    </row>
    <row r="44" spans="1:15" x14ac:dyDescent="0.2">
      <c r="A44" s="19">
        <v>43</v>
      </c>
      <c r="B44" s="31" t="s">
        <v>24</v>
      </c>
      <c r="C44" s="32">
        <v>314</v>
      </c>
      <c r="D44" s="17"/>
      <c r="M44" s="193">
        <v>43</v>
      </c>
      <c r="N44" s="25" t="s">
        <v>7</v>
      </c>
      <c r="O44" s="26">
        <f>C29</f>
        <v>490</v>
      </c>
    </row>
    <row r="45" spans="1:15" x14ac:dyDescent="0.2">
      <c r="A45" s="19">
        <v>44</v>
      </c>
      <c r="B45" s="31" t="s">
        <v>9</v>
      </c>
      <c r="C45" s="32">
        <v>2400</v>
      </c>
      <c r="D45" s="17"/>
      <c r="M45" s="193">
        <v>44</v>
      </c>
      <c r="N45" s="28" t="s">
        <v>40</v>
      </c>
      <c r="O45" s="30">
        <f>C16</f>
        <v>349</v>
      </c>
    </row>
    <row r="46" spans="1:15" x14ac:dyDescent="0.2">
      <c r="A46" s="19">
        <v>45</v>
      </c>
      <c r="B46" s="31" t="s">
        <v>62</v>
      </c>
      <c r="C46" s="32">
        <v>755</v>
      </c>
      <c r="D46" s="17"/>
      <c r="M46" s="193">
        <v>45</v>
      </c>
      <c r="N46" s="31" t="s">
        <v>16</v>
      </c>
      <c r="O46" s="16">
        <f>C53</f>
        <v>6434</v>
      </c>
    </row>
    <row r="47" spans="1:15" x14ac:dyDescent="0.2">
      <c r="A47" s="19">
        <v>46</v>
      </c>
      <c r="B47" s="31" t="s">
        <v>46</v>
      </c>
      <c r="C47" s="32">
        <v>181</v>
      </c>
      <c r="D47" s="17"/>
      <c r="M47" s="193">
        <v>46</v>
      </c>
      <c r="N47" s="28" t="s">
        <v>31</v>
      </c>
      <c r="O47" s="30">
        <f>C17</f>
        <v>687</v>
      </c>
    </row>
    <row r="48" spans="1:15" x14ac:dyDescent="0.2">
      <c r="A48" s="19">
        <v>47</v>
      </c>
      <c r="B48" s="31" t="s">
        <v>35</v>
      </c>
      <c r="C48" s="32">
        <v>347</v>
      </c>
      <c r="D48" s="17"/>
      <c r="M48" s="193">
        <v>47</v>
      </c>
      <c r="N48" s="25" t="s">
        <v>21</v>
      </c>
      <c r="O48" s="26">
        <f>C31</f>
        <v>2615</v>
      </c>
    </row>
    <row r="49" spans="1:15" x14ac:dyDescent="0.2">
      <c r="A49" s="19">
        <v>48</v>
      </c>
      <c r="B49" s="31" t="s">
        <v>49</v>
      </c>
      <c r="C49" s="32">
        <v>1690</v>
      </c>
      <c r="D49" s="17"/>
      <c r="M49" s="193">
        <v>48</v>
      </c>
      <c r="N49" s="25" t="s">
        <v>6</v>
      </c>
      <c r="O49" s="26">
        <f>C32</f>
        <v>227</v>
      </c>
    </row>
    <row r="50" spans="1:15" x14ac:dyDescent="0.2">
      <c r="A50" s="19">
        <v>49</v>
      </c>
      <c r="B50" s="31" t="s">
        <v>47</v>
      </c>
      <c r="C50" s="32">
        <v>387</v>
      </c>
      <c r="D50" s="17"/>
      <c r="M50" s="193">
        <v>49</v>
      </c>
      <c r="N50" s="28" t="s">
        <v>12</v>
      </c>
      <c r="O50" s="30">
        <f>C18</f>
        <v>255</v>
      </c>
    </row>
    <row r="51" spans="1:15" x14ac:dyDescent="0.2">
      <c r="A51" s="19">
        <v>50</v>
      </c>
      <c r="B51" s="31" t="s">
        <v>58</v>
      </c>
      <c r="C51" s="32">
        <v>1096</v>
      </c>
      <c r="D51" s="17"/>
      <c r="M51" s="193">
        <v>50</v>
      </c>
      <c r="N51" s="25" t="s">
        <v>34</v>
      </c>
      <c r="O51" s="26">
        <f>C33</f>
        <v>131</v>
      </c>
    </row>
    <row r="52" spans="1:15" x14ac:dyDescent="0.2">
      <c r="A52" s="19">
        <v>51</v>
      </c>
      <c r="B52" s="31" t="s">
        <v>50</v>
      </c>
      <c r="C52" s="16">
        <v>188</v>
      </c>
      <c r="D52" s="17"/>
      <c r="M52" s="193">
        <v>51</v>
      </c>
      <c r="N52" s="28" t="s">
        <v>59</v>
      </c>
      <c r="O52" s="30">
        <f>C19</f>
        <v>436</v>
      </c>
    </row>
    <row r="53" spans="1:15" x14ac:dyDescent="0.2">
      <c r="A53" s="19">
        <v>52</v>
      </c>
      <c r="B53" s="31" t="s">
        <v>16</v>
      </c>
      <c r="C53" s="16">
        <v>6434</v>
      </c>
      <c r="D53" s="17"/>
      <c r="M53" s="193">
        <v>52</v>
      </c>
      <c r="N53" s="28" t="s">
        <v>27</v>
      </c>
      <c r="O53" s="30">
        <f>C20</f>
        <v>3190</v>
      </c>
    </row>
    <row r="54" spans="1:15" x14ac:dyDescent="0.2">
      <c r="A54" s="19">
        <v>53</v>
      </c>
      <c r="B54" s="31" t="s">
        <v>25</v>
      </c>
      <c r="C54" s="33">
        <v>560</v>
      </c>
      <c r="D54" s="17"/>
      <c r="M54" s="193">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820</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593</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592</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6">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0">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3">
        <f t="shared" si="43"/>
        <v>2257613.4299999992</v>
      </c>
      <c r="BH216" s="203">
        <f t="shared" si="44"/>
        <v>-1986621.7200000004</v>
      </c>
      <c r="BI216" s="203">
        <f t="shared" si="45"/>
        <v>3830148.2800000003</v>
      </c>
      <c r="BJ216" s="203">
        <f t="shared" si="46"/>
        <v>414086.86999999994</v>
      </c>
    </row>
    <row r="217" spans="3:62" x14ac:dyDescent="0.25">
      <c r="D217">
        <v>2999</v>
      </c>
      <c r="E217" t="s">
        <v>594</v>
      </c>
      <c r="F217" s="101">
        <v>2018169.55</v>
      </c>
      <c r="G217" s="101">
        <v>48554.54</v>
      </c>
      <c r="H217" s="101">
        <v>306794.81</v>
      </c>
      <c r="I217" s="101">
        <v>96779.49</v>
      </c>
      <c r="J217" s="101">
        <v>5070297.62</v>
      </c>
      <c r="K217" s="101">
        <v>828373.07</v>
      </c>
      <c r="L217" s="101">
        <v>2779294.07</v>
      </c>
      <c r="M217" s="101">
        <v>3942070.43</v>
      </c>
      <c r="N217" s="101">
        <v>1132472.24</v>
      </c>
      <c r="O217" s="101">
        <v>622462.23</v>
      </c>
      <c r="P217" s="198">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3">
        <f t="shared" si="43"/>
        <v>85593122.990000024</v>
      </c>
      <c r="BH217" s="203">
        <f t="shared" si="44"/>
        <v>21034620.32</v>
      </c>
      <c r="BI217" s="203">
        <f t="shared" si="45"/>
        <v>25511532.739999998</v>
      </c>
      <c r="BJ217" s="203">
        <f t="shared" si="46"/>
        <v>39046969.929999992</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601</v>
      </c>
    </row>
    <row r="220" spans="3:62" x14ac:dyDescent="0.25">
      <c r="D220">
        <v>290</v>
      </c>
      <c r="E220" t="s">
        <v>600</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604</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603</v>
      </c>
      <c r="F223" s="181">
        <f>F220+F221</f>
        <v>338069</v>
      </c>
      <c r="G223" s="181">
        <f t="shared" ref="G223:BJ223" si="53">G220+G221</f>
        <v>183367.53000000003</v>
      </c>
      <c r="H223" s="181">
        <f t="shared" si="53"/>
        <v>-29321.279999999999</v>
      </c>
      <c r="I223" s="181">
        <f t="shared" si="53"/>
        <v>35050.58</v>
      </c>
      <c r="J223" s="181">
        <f t="shared" si="53"/>
        <v>461623.62999999995</v>
      </c>
      <c r="K223" s="181">
        <f t="shared" si="53"/>
        <v>1051215.94</v>
      </c>
      <c r="L223" s="181">
        <f t="shared" si="53"/>
        <v>253856.48</v>
      </c>
      <c r="M223" s="181">
        <f t="shared" si="53"/>
        <v>2089673.1800000002</v>
      </c>
      <c r="N223" s="181">
        <f t="shared" si="53"/>
        <v>-1352.8600000000151</v>
      </c>
      <c r="O223" s="181">
        <f t="shared" si="53"/>
        <v>-63918.92</v>
      </c>
      <c r="P223" s="181">
        <f t="shared" si="53"/>
        <v>-1177403.47</v>
      </c>
      <c r="Q223" s="181">
        <f t="shared" si="53"/>
        <v>-93731.8</v>
      </c>
      <c r="R223" s="181">
        <f t="shared" si="53"/>
        <v>-9460.8100000000013</v>
      </c>
      <c r="S223" s="181">
        <f t="shared" si="53"/>
        <v>-16853.579999999998</v>
      </c>
      <c r="T223" s="181">
        <f t="shared" si="53"/>
        <v>-13071.369999999995</v>
      </c>
      <c r="U223" s="181">
        <f t="shared" si="53"/>
        <v>262757.42</v>
      </c>
      <c r="V223" s="181">
        <f t="shared" si="53"/>
        <v>9048.7099999999991</v>
      </c>
      <c r="W223" s="181">
        <f t="shared" si="53"/>
        <v>-152377.16</v>
      </c>
      <c r="X223" s="181">
        <f t="shared" si="53"/>
        <v>364711.41000000003</v>
      </c>
      <c r="Y223" s="181">
        <f t="shared" si="53"/>
        <v>26286.14</v>
      </c>
      <c r="Z223" s="181">
        <f t="shared" si="53"/>
        <v>178997.68</v>
      </c>
      <c r="AA223" s="181">
        <f t="shared" si="53"/>
        <v>3517719.9899999998</v>
      </c>
      <c r="AB223" s="181">
        <f t="shared" si="53"/>
        <v>-11170.27</v>
      </c>
      <c r="AC223" s="181">
        <f t="shared" si="53"/>
        <v>41421.78</v>
      </c>
      <c r="AD223" s="181">
        <f t="shared" si="53"/>
        <v>-114596.97</v>
      </c>
      <c r="AE223" s="181">
        <f t="shared" si="53"/>
        <v>-99000.459999999992</v>
      </c>
      <c r="AF223" s="181">
        <f t="shared" si="53"/>
        <v>-194273.68</v>
      </c>
      <c r="AG223" s="181">
        <f t="shared" si="53"/>
        <v>122538.76</v>
      </c>
      <c r="AH223" s="181">
        <f t="shared" si="53"/>
        <v>1107210.3</v>
      </c>
      <c r="AI223" s="181">
        <f t="shared" si="53"/>
        <v>243887.35</v>
      </c>
      <c r="AJ223" s="181">
        <f t="shared" si="53"/>
        <v>-60989.77</v>
      </c>
      <c r="AK223" s="181">
        <f t="shared" si="53"/>
        <v>22586.400000000001</v>
      </c>
      <c r="AL223" s="181">
        <f t="shared" si="53"/>
        <v>153720</v>
      </c>
      <c r="AM223" s="181">
        <f t="shared" si="53"/>
        <v>-32824.589999999997</v>
      </c>
      <c r="AN223" s="181">
        <f t="shared" si="53"/>
        <v>-5589.7700000000041</v>
      </c>
      <c r="AO223" s="181">
        <f t="shared" si="53"/>
        <v>13711.05</v>
      </c>
      <c r="AP223" s="181">
        <f t="shared" si="53"/>
        <v>341994.52</v>
      </c>
      <c r="AQ223" s="181">
        <f t="shared" si="53"/>
        <v>197653.74000000002</v>
      </c>
      <c r="AR223" s="181">
        <f t="shared" si="53"/>
        <v>23915.769999999997</v>
      </c>
      <c r="AS223" s="181">
        <f t="shared" si="53"/>
        <v>50671.79</v>
      </c>
      <c r="AT223" s="181">
        <f t="shared" si="53"/>
        <v>16082.760000000002</v>
      </c>
      <c r="AU223" s="181">
        <f t="shared" si="53"/>
        <v>35118.03</v>
      </c>
      <c r="AV223" s="181">
        <f t="shared" si="53"/>
        <v>112815.42</v>
      </c>
      <c r="AW223" s="181">
        <f t="shared" si="53"/>
        <v>-268507.58</v>
      </c>
      <c r="AX223" s="181">
        <f t="shared" si="53"/>
        <v>-9064.0300000000025</v>
      </c>
      <c r="AY223" s="181">
        <f t="shared" si="53"/>
        <v>29819.599999999999</v>
      </c>
      <c r="AZ223" s="181">
        <f t="shared" si="53"/>
        <v>73689.049999999988</v>
      </c>
      <c r="BA223" s="181">
        <f t="shared" si="53"/>
        <v>79042.83</v>
      </c>
      <c r="BB223" s="181">
        <f t="shared" si="53"/>
        <v>160878.04999999999</v>
      </c>
      <c r="BC223" s="181">
        <f t="shared" si="53"/>
        <v>192186.95</v>
      </c>
      <c r="BD223" s="181">
        <f t="shared" si="53"/>
        <v>-12634.7</v>
      </c>
      <c r="BE223" s="181">
        <f t="shared" si="53"/>
        <v>1253727.51</v>
      </c>
      <c r="BF223" s="181">
        <f t="shared" si="53"/>
        <v>67948.679999999993</v>
      </c>
      <c r="BG223" s="181">
        <f t="shared" si="53"/>
        <v>10746854.960000003</v>
      </c>
      <c r="BH223" s="181">
        <f t="shared" si="53"/>
        <v>3491882.63</v>
      </c>
      <c r="BI223" s="181">
        <f t="shared" si="53"/>
        <v>4780617.25</v>
      </c>
      <c r="BJ223" s="181">
        <f t="shared" si="53"/>
        <v>2474355.08</v>
      </c>
    </row>
    <row r="224" spans="3:62" x14ac:dyDescent="0.25">
      <c r="N224" s="4"/>
      <c r="BG224" s="4"/>
      <c r="BH224" s="4"/>
      <c r="BI224" s="4"/>
      <c r="BJ224" s="4"/>
    </row>
    <row r="225" spans="5:62" x14ac:dyDescent="0.25">
      <c r="E225" s="60" t="s">
        <v>602</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760</v>
      </c>
      <c r="B1" s="7"/>
      <c r="C1" s="7"/>
      <c r="D1" s="7"/>
      <c r="E1" s="78"/>
    </row>
    <row r="3" spans="1:6" ht="15.75" thickBot="1" x14ac:dyDescent="0.3"/>
    <row r="4" spans="1:6" ht="15.75" thickBot="1" x14ac:dyDescent="0.3">
      <c r="A4" t="s">
        <v>652</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593</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592</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594</v>
      </c>
      <c r="F220" s="4">
        <f>HLOOKUP($E$4,'5. Bilan'!$F$3:$BF$226,215,0)</f>
        <v>341240.73</v>
      </c>
    </row>
    <row r="221" spans="3:6" x14ac:dyDescent="0.25">
      <c r="F221" s="4"/>
    </row>
    <row r="222" spans="3:6" x14ac:dyDescent="0.25">
      <c r="C222" s="160"/>
      <c r="D222" s="160"/>
      <c r="E222" s="160" t="s">
        <v>601</v>
      </c>
      <c r="F222" s="178"/>
    </row>
    <row r="223" spans="3:6" x14ac:dyDescent="0.25">
      <c r="D223">
        <v>290</v>
      </c>
      <c r="E223" t="s">
        <v>600</v>
      </c>
      <c r="F223" s="4">
        <f>HLOOKUP($E$4,'5. Bilan'!$F$3:$BF$226,218,0)</f>
        <v>41403.599999999999</v>
      </c>
    </row>
    <row r="224" spans="3:6" x14ac:dyDescent="0.25">
      <c r="D224">
        <v>2990</v>
      </c>
      <c r="E224" t="s">
        <v>604</v>
      </c>
      <c r="F224" s="4">
        <f>HLOOKUP($E$4,'5. Bilan'!$F$3:$BF$226,219,0)</f>
        <v>26545.08</v>
      </c>
    </row>
    <row r="225" spans="5:6" x14ac:dyDescent="0.25">
      <c r="F225" s="4"/>
    </row>
    <row r="226" spans="5:6" x14ac:dyDescent="0.25">
      <c r="E226" s="7" t="s">
        <v>603</v>
      </c>
      <c r="F226" s="4">
        <f>HLOOKUP($E$4,'5. Bilan'!$F$3:$BF$226,221,0)</f>
        <v>67948.679999999993</v>
      </c>
    </row>
    <row r="227" spans="5:6" x14ac:dyDescent="0.25">
      <c r="F227" s="4"/>
    </row>
    <row r="228" spans="5:6" x14ac:dyDescent="0.25">
      <c r="E228" s="60" t="s">
        <v>602</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7">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4" t="s">
        <v>268</v>
      </c>
      <c r="E2" s="89">
        <f>'5.2 Tableau bilan'!F188</f>
        <v>91838538.320000038</v>
      </c>
    </row>
    <row r="3" spans="2:5" x14ac:dyDescent="0.25">
      <c r="B3" s="78">
        <v>291</v>
      </c>
      <c r="C3" s="78"/>
      <c r="D3" s="134" t="s">
        <v>269</v>
      </c>
      <c r="E3" s="89">
        <f>'5.2 Tableau bilan'!F191</f>
        <v>5824194.0499999998</v>
      </c>
    </row>
    <row r="4" spans="2:5" x14ac:dyDescent="0.25">
      <c r="B4" s="78">
        <v>292</v>
      </c>
      <c r="C4" s="78"/>
      <c r="D4" s="134" t="s">
        <v>270</v>
      </c>
      <c r="E4" s="89">
        <f>'5.2 Tableau bilan'!F195</f>
        <v>2171523.7999999998</v>
      </c>
    </row>
    <row r="5" spans="2:5" x14ac:dyDescent="0.25">
      <c r="B5" s="78">
        <v>293</v>
      </c>
      <c r="C5" s="78"/>
      <c r="D5" s="134" t="s">
        <v>271</v>
      </c>
      <c r="E5" s="89">
        <f>'5.2 Tableau bilan'!F198</f>
        <v>5019487.7799999993</v>
      </c>
    </row>
    <row r="6" spans="2:5" x14ac:dyDescent="0.25">
      <c r="B6" s="78">
        <v>294</v>
      </c>
      <c r="C6" s="78"/>
      <c r="D6" s="134" t="s">
        <v>272</v>
      </c>
      <c r="E6" s="89">
        <f>'5.2 Tableau bilan'!F201</f>
        <v>31038418.739999998</v>
      </c>
    </row>
    <row r="7" spans="2:5" x14ac:dyDescent="0.25">
      <c r="B7" s="78">
        <v>295</v>
      </c>
      <c r="C7" s="78"/>
      <c r="D7" s="134" t="s">
        <v>273</v>
      </c>
      <c r="E7" s="89">
        <f>'5.2 Tableau bilan'!F204</f>
        <v>96130.319999999992</v>
      </c>
    </row>
    <row r="8" spans="2:5" x14ac:dyDescent="0.25">
      <c r="B8" s="78">
        <v>296</v>
      </c>
      <c r="C8" s="78"/>
      <c r="D8" s="134" t="s">
        <v>274</v>
      </c>
      <c r="E8" s="89">
        <f>'5.2 Tableau bilan'!F207</f>
        <v>16454611.33</v>
      </c>
    </row>
    <row r="9" spans="2:5" x14ac:dyDescent="0.25">
      <c r="B9" s="78">
        <v>298</v>
      </c>
      <c r="C9" s="78"/>
      <c r="D9" s="134" t="s">
        <v>275</v>
      </c>
      <c r="E9" s="89">
        <f>'5.2 Tableau bilan'!F210</f>
        <v>146786.6</v>
      </c>
    </row>
    <row r="10" spans="2:5" x14ac:dyDescent="0.25">
      <c r="B10" s="78">
        <v>299</v>
      </c>
      <c r="C10" s="78"/>
      <c r="D10" s="134"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654</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BD20/BD5</f>
        <v>7972.8417539242164</v>
      </c>
      <c r="BE21" s="173">
        <f t="shared" ref="BE21:BG21" si="5">BE20/BE5</f>
        <v>7806.7980358884834</v>
      </c>
      <c r="BF21" s="173">
        <f t="shared" si="5"/>
        <v>6683.1131606069266</v>
      </c>
      <c r="BG21" s="173">
        <f t="shared" si="5"/>
        <v>8796.005904597132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655</v>
      </c>
      <c r="C23" s="180">
        <f>C9-C7</f>
        <v>3110759.83</v>
      </c>
      <c r="D23" s="180">
        <f t="shared" ref="D23:BC23" si="6">D9-D7</f>
        <v>1153471.1100000001</v>
      </c>
      <c r="E23" s="180">
        <f t="shared" si="6"/>
        <v>2152345.7399999993</v>
      </c>
      <c r="F23" s="180">
        <f t="shared" si="6"/>
        <v>279098.55999999959</v>
      </c>
      <c r="G23" s="180">
        <f t="shared" si="6"/>
        <v>11170166.720000001</v>
      </c>
      <c r="H23" s="180">
        <f t="shared" si="6"/>
        <v>16907788.280000001</v>
      </c>
      <c r="I23" s="180">
        <f t="shared" si="6"/>
        <v>1024849.9700000007</v>
      </c>
      <c r="J23" s="180">
        <f t="shared" si="6"/>
        <v>90861759.809999973</v>
      </c>
      <c r="K23" s="180">
        <f t="shared" si="6"/>
        <v>3075283.87</v>
      </c>
      <c r="L23" s="180">
        <f t="shared" si="6"/>
        <v>460672.40000000008</v>
      </c>
      <c r="M23" s="180">
        <f t="shared" si="6"/>
        <v>26943371.269999996</v>
      </c>
      <c r="N23" s="180">
        <f t="shared" si="6"/>
        <v>1367293.8900000001</v>
      </c>
      <c r="O23" s="180">
        <f t="shared" si="6"/>
        <v>245034.49999999994</v>
      </c>
      <c r="P23" s="180">
        <f t="shared" si="6"/>
        <v>1875698.62</v>
      </c>
      <c r="Q23" s="180">
        <f t="shared" si="6"/>
        <v>2088445.9300000002</v>
      </c>
      <c r="R23" s="180">
        <f t="shared" si="6"/>
        <v>205440.33000000101</v>
      </c>
      <c r="S23" s="180">
        <f t="shared" si="6"/>
        <v>266671.21000000008</v>
      </c>
      <c r="T23" s="180">
        <f t="shared" si="6"/>
        <v>1745113.8100000005</v>
      </c>
      <c r="U23" s="180">
        <f t="shared" si="6"/>
        <v>10830665.34</v>
      </c>
      <c r="V23" s="180">
        <f t="shared" si="6"/>
        <v>-1080510.5</v>
      </c>
      <c r="W23" s="180">
        <f t="shared" si="6"/>
        <v>7786577.9200000009</v>
      </c>
      <c r="X23" s="180">
        <f t="shared" si="6"/>
        <v>-9330221.8099999987</v>
      </c>
      <c r="Y23" s="180">
        <f t="shared" si="6"/>
        <v>135991.01</v>
      </c>
      <c r="Z23" s="180">
        <f t="shared" si="6"/>
        <v>-394266.68000000017</v>
      </c>
      <c r="AA23" s="180">
        <f t="shared" si="6"/>
        <v>795544.37999999942</v>
      </c>
      <c r="AB23" s="180">
        <f t="shared" si="6"/>
        <v>5398506.4100000011</v>
      </c>
      <c r="AC23" s="180">
        <f t="shared" si="6"/>
        <v>1285721.0300000003</v>
      </c>
      <c r="AD23" s="180">
        <f t="shared" si="6"/>
        <v>-3100962.9499999997</v>
      </c>
      <c r="AE23" s="180">
        <f t="shared" si="6"/>
        <v>-641556.43999999948</v>
      </c>
      <c r="AF23" s="180">
        <f t="shared" si="6"/>
        <v>10187147.34</v>
      </c>
      <c r="AG23" s="180">
        <f t="shared" si="6"/>
        <v>-118781.69999999995</v>
      </c>
      <c r="AH23" s="180">
        <f t="shared" si="6"/>
        <v>-1114795.5899999999</v>
      </c>
      <c r="AI23" s="180">
        <f t="shared" si="6"/>
        <v>12234275.83</v>
      </c>
      <c r="AJ23" s="180">
        <f t="shared" si="6"/>
        <v>5016254.2100000009</v>
      </c>
      <c r="AK23" s="180">
        <f t="shared" si="6"/>
        <v>6531766.3000000026</v>
      </c>
      <c r="AL23" s="180">
        <f t="shared" si="6"/>
        <v>1172309.7600000002</v>
      </c>
      <c r="AM23" s="180">
        <f t="shared" si="6"/>
        <v>-3843093.26</v>
      </c>
      <c r="AN23" s="180">
        <f t="shared" si="6"/>
        <v>1218796.6800000006</v>
      </c>
      <c r="AO23" s="180">
        <f t="shared" si="6"/>
        <v>928101.93000000017</v>
      </c>
      <c r="AP23" s="180">
        <f t="shared" si="6"/>
        <v>-1573158.0699999984</v>
      </c>
      <c r="AQ23" s="180">
        <f t="shared" si="6"/>
        <v>3349607.29</v>
      </c>
      <c r="AR23" s="180">
        <f t="shared" si="6"/>
        <v>4273584.87</v>
      </c>
      <c r="AS23" s="180">
        <f t="shared" si="6"/>
        <v>-1809164.0300000005</v>
      </c>
      <c r="AT23" s="180">
        <f t="shared" si="6"/>
        <v>8092477.2599999998</v>
      </c>
      <c r="AU23" s="180">
        <f t="shared" si="6"/>
        <v>2942305.2700000005</v>
      </c>
      <c r="AV23" s="180">
        <f t="shared" si="6"/>
        <v>303302.40000000002</v>
      </c>
      <c r="AW23" s="180">
        <f t="shared" si="6"/>
        <v>-28814.959999999963</v>
      </c>
      <c r="AX23" s="180">
        <f t="shared" si="6"/>
        <v>16166827.07</v>
      </c>
      <c r="AY23" s="180">
        <f t="shared" si="6"/>
        <v>-1285711.78</v>
      </c>
      <c r="AZ23" s="180">
        <f t="shared" si="6"/>
        <v>5956684.4200000009</v>
      </c>
      <c r="BA23" s="180">
        <f t="shared" si="6"/>
        <v>-570550.01</v>
      </c>
      <c r="BB23" s="180">
        <f t="shared" si="6"/>
        <v>38530094.520000011</v>
      </c>
      <c r="BC23" s="180">
        <f t="shared" si="6"/>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G24" si="7">D23/D5</f>
        <v>4272.1152222222227</v>
      </c>
      <c r="E24" s="173">
        <f t="shared" si="7"/>
        <v>4437.8262680412354</v>
      </c>
      <c r="F24" s="173">
        <f t="shared" si="7"/>
        <v>625.78152466367624</v>
      </c>
      <c r="G24" s="173">
        <f t="shared" si="7"/>
        <v>3076.3334398237403</v>
      </c>
      <c r="H24" s="173">
        <f t="shared" si="7"/>
        <v>5103.4676365831574</v>
      </c>
      <c r="I24" s="173">
        <f t="shared" si="7"/>
        <v>387.61345310136181</v>
      </c>
      <c r="J24" s="173">
        <f t="shared" si="7"/>
        <v>7200.9636875891565</v>
      </c>
      <c r="K24" s="173">
        <f t="shared" si="7"/>
        <v>2243.0954558716267</v>
      </c>
      <c r="L24" s="173">
        <f t="shared" si="7"/>
        <v>3904.0033898305091</v>
      </c>
      <c r="M24" s="173">
        <f t="shared" si="7"/>
        <v>3759.3653230082314</v>
      </c>
      <c r="N24" s="173">
        <f t="shared" si="7"/>
        <v>2589.5717613636366</v>
      </c>
      <c r="O24" s="173">
        <f t="shared" si="7"/>
        <v>2268.8379629629626</v>
      </c>
      <c r="P24" s="173">
        <f t="shared" si="7"/>
        <v>4519.7557108433739</v>
      </c>
      <c r="Q24" s="173">
        <f t="shared" si="7"/>
        <v>5984.085759312321</v>
      </c>
      <c r="R24" s="173">
        <f t="shared" si="7"/>
        <v>299.03978165939009</v>
      </c>
      <c r="S24" s="173">
        <f t="shared" si="7"/>
        <v>1045.7694509803925</v>
      </c>
      <c r="T24" s="173">
        <f t="shared" si="7"/>
        <v>4002.5546100917445</v>
      </c>
      <c r="U24" s="173">
        <f t="shared" si="7"/>
        <v>3395.1928965517241</v>
      </c>
      <c r="V24" s="173">
        <f t="shared" si="7"/>
        <v>-3334.9089506172841</v>
      </c>
      <c r="W24" s="173">
        <f t="shared" si="7"/>
        <v>6249.259967897272</v>
      </c>
      <c r="X24" s="173">
        <f t="shared" si="7"/>
        <v>-6106.1661060209417</v>
      </c>
      <c r="Y24" s="173">
        <f t="shared" si="7"/>
        <v>1416.5730208333334</v>
      </c>
      <c r="Z24" s="173">
        <f t="shared" si="7"/>
        <v>-2646.0851006711418</v>
      </c>
      <c r="AA24" s="173">
        <f t="shared" si="7"/>
        <v>1541.7526744186034</v>
      </c>
      <c r="AB24" s="173">
        <f t="shared" si="7"/>
        <v>8045.4640983606578</v>
      </c>
      <c r="AC24" s="173">
        <f t="shared" si="7"/>
        <v>2247.7640384615388</v>
      </c>
      <c r="AD24" s="173">
        <f t="shared" si="7"/>
        <v>-6328.4958163265301</v>
      </c>
      <c r="AE24" s="173">
        <f t="shared" si="7"/>
        <v>-335.19145245559014</v>
      </c>
      <c r="AF24" s="173">
        <f t="shared" si="7"/>
        <v>3895.6586386233271</v>
      </c>
      <c r="AG24" s="173">
        <f t="shared" si="7"/>
        <v>-523.26740088105703</v>
      </c>
      <c r="AH24" s="173">
        <f t="shared" si="7"/>
        <v>-8509.89</v>
      </c>
      <c r="AI24" s="173">
        <f t="shared" si="7"/>
        <v>6456.0822321899741</v>
      </c>
      <c r="AJ24" s="173">
        <f t="shared" si="7"/>
        <v>4419.6072334801765</v>
      </c>
      <c r="AK24" s="173">
        <f t="shared" si="7"/>
        <v>5263.3088638195022</v>
      </c>
      <c r="AL24" s="173">
        <f t="shared" si="7"/>
        <v>9851.342521008406</v>
      </c>
      <c r="AM24" s="173">
        <f t="shared" si="7"/>
        <v>-3215.977623430962</v>
      </c>
      <c r="AN24" s="173">
        <f t="shared" si="7"/>
        <v>1838.3057013574671</v>
      </c>
      <c r="AO24" s="173">
        <f t="shared" si="7"/>
        <v>1438.9177209302329</v>
      </c>
      <c r="AP24" s="173">
        <f t="shared" si="7"/>
        <v>-1245.5725019794129</v>
      </c>
      <c r="AQ24" s="173">
        <f t="shared" si="7"/>
        <v>4526.4963378378379</v>
      </c>
      <c r="AR24" s="173">
        <f t="shared" si="7"/>
        <v>4157.183725680934</v>
      </c>
      <c r="AS24" s="173">
        <f t="shared" si="7"/>
        <v>-5761.6688853503201</v>
      </c>
      <c r="AT24" s="173">
        <f t="shared" si="7"/>
        <v>3371.8655249999997</v>
      </c>
      <c r="AU24" s="173">
        <f t="shared" si="7"/>
        <v>3897.0930728476828</v>
      </c>
      <c r="AV24" s="173">
        <f t="shared" si="7"/>
        <v>1675.7038674033151</v>
      </c>
      <c r="AW24" s="173">
        <f t="shared" si="7"/>
        <v>-83.040230547550323</v>
      </c>
      <c r="AX24" s="173">
        <f t="shared" si="7"/>
        <v>9566.1698639053247</v>
      </c>
      <c r="AY24" s="173">
        <f t="shared" si="7"/>
        <v>-3322.2526614987082</v>
      </c>
      <c r="AZ24" s="173">
        <f t="shared" si="7"/>
        <v>5434.9310401459861</v>
      </c>
      <c r="BA24" s="173">
        <f t="shared" si="7"/>
        <v>-3034.8404787234044</v>
      </c>
      <c r="BB24" s="173">
        <f t="shared" si="7"/>
        <v>5988.513291886853</v>
      </c>
      <c r="BC24" s="173">
        <f t="shared" si="7"/>
        <v>3847.7301785714276</v>
      </c>
      <c r="BD24" s="173">
        <f t="shared" si="7"/>
        <v>3871.0733860179903</v>
      </c>
      <c r="BE24" s="173">
        <f t="shared" si="7"/>
        <v>4512.0894180315254</v>
      </c>
      <c r="BF24" s="173">
        <f t="shared" si="7"/>
        <v>936.00462066991156</v>
      </c>
      <c r="BG24" s="173">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653</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656</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0">
        <f>SUM(C42:BC42)</f>
        <v>538714835.05999994</v>
      </c>
      <c r="BE42" s="180">
        <f t="shared" ref="BE42" si="13">SUM(C42:U42)</f>
        <v>267409193.54999995</v>
      </c>
      <c r="BF42" s="180">
        <f t="shared" ref="BF42" si="14">SUM(V42:AH42)</f>
        <v>66360232.519999996</v>
      </c>
      <c r="BG42" s="180">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657</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0">
        <f t="shared" si="17"/>
        <v>141329869.45999992</v>
      </c>
      <c r="BF45" s="180">
        <f t="shared" si="17"/>
        <v>11166293.910000011</v>
      </c>
      <c r="BG45" s="180">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816</v>
      </c>
      <c r="C2" s="65" t="s">
        <v>818</v>
      </c>
      <c r="D2" s="65" t="s">
        <v>817</v>
      </c>
      <c r="E2" s="65" t="s">
        <v>819</v>
      </c>
    </row>
    <row r="3" spans="1:5" x14ac:dyDescent="0.25">
      <c r="A3" s="205"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5"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5"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5"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5"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5"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5"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5"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5"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5"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5"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5"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5"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5"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5"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5"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5"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5"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5"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5"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5"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5"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5"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5"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5"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5"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5"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5"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5"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5"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5"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5"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5"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5"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5"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5"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5"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5"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5"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5"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5"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5"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5"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5"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5"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5"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5"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5"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5"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5"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5"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5"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5"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761</v>
      </c>
      <c r="B1" s="7"/>
    </row>
    <row r="2" spans="1:3" ht="15" customHeight="1" x14ac:dyDescent="0.4">
      <c r="A2" s="42"/>
      <c r="B2" s="7"/>
    </row>
    <row r="3" spans="1:3" ht="15" customHeight="1" thickBot="1" x14ac:dyDescent="0.3">
      <c r="A3" s="7"/>
      <c r="B3" s="7"/>
    </row>
    <row r="4" spans="1:3" ht="15" customHeight="1" thickBot="1" x14ac:dyDescent="0.45">
      <c r="A4" s="42"/>
      <c r="B4" s="179" t="s">
        <v>50</v>
      </c>
    </row>
    <row r="5" spans="1:3" ht="15" customHeight="1" x14ac:dyDescent="0.25">
      <c r="C5" s="65"/>
    </row>
    <row r="6" spans="1:3" ht="15" customHeight="1" x14ac:dyDescent="0.25">
      <c r="C6" s="182" t="s">
        <v>205</v>
      </c>
    </row>
    <row r="7" spans="1:3" x14ac:dyDescent="0.25">
      <c r="A7" s="67">
        <v>10</v>
      </c>
      <c r="B7" s="67" t="s">
        <v>247</v>
      </c>
      <c r="C7" s="4">
        <f>HLOOKUP($B$4,'5.4 Tableau de l''endettement'!$C$6:$BC$24,2,0)</f>
        <v>866228.97</v>
      </c>
    </row>
    <row r="8" spans="1:3" x14ac:dyDescent="0.25">
      <c r="A8" s="67"/>
      <c r="B8" s="67"/>
      <c r="C8" s="4"/>
    </row>
    <row r="9" spans="1:3" x14ac:dyDescent="0.25">
      <c r="A9" s="67">
        <v>20</v>
      </c>
      <c r="B9" s="67" t="s">
        <v>259</v>
      </c>
      <c r="C9" s="4">
        <f>HLOOKUP($B$4,'5.4 Tableau de l''endettement'!$C$6:$BC$24,4,0)</f>
        <v>295678.96000000002</v>
      </c>
    </row>
    <row r="10" spans="1:3" x14ac:dyDescent="0.25">
      <c r="A10" s="67"/>
      <c r="B10" s="67"/>
      <c r="C10" s="4"/>
    </row>
    <row r="11" spans="1:3" x14ac:dyDescent="0.25">
      <c r="A11" s="67">
        <v>200</v>
      </c>
      <c r="B11" s="67" t="s">
        <v>460</v>
      </c>
      <c r="C11" s="4">
        <f>HLOOKUP($B$4,'5.4 Tableau de l''endettement'!$C$6:$BC$24,6,0)</f>
        <v>57543.880000000005</v>
      </c>
    </row>
    <row r="12" spans="1:3" x14ac:dyDescent="0.25">
      <c r="A12" s="67"/>
      <c r="B12" s="67"/>
      <c r="C12" s="4"/>
    </row>
    <row r="13" spans="1:3" x14ac:dyDescent="0.25">
      <c r="A13" s="67">
        <v>201</v>
      </c>
      <c r="B13" s="67" t="s">
        <v>261</v>
      </c>
      <c r="C13" s="4">
        <f>HLOOKUP($B$4,'5.4 Tableau de l''endettement'!$C$6:$BC$24,8,0)</f>
        <v>0</v>
      </c>
    </row>
    <row r="14" spans="1:3" x14ac:dyDescent="0.25">
      <c r="A14" s="67"/>
      <c r="B14" s="67"/>
      <c r="C14" s="4"/>
    </row>
    <row r="15" spans="1:3" x14ac:dyDescent="0.25">
      <c r="A15" s="67">
        <v>206</v>
      </c>
      <c r="B15" s="67" t="s">
        <v>264</v>
      </c>
      <c r="C15" s="4">
        <f>HLOOKUP($B$4,'5.4 Tableau de l''endettement'!$C$6:$BC$24,10,0)</f>
        <v>148745.70000000001</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654</v>
      </c>
      <c r="C20" s="100">
        <f>HLOOKUP($B$4,'5.4 Tableau de l''endettement'!$C$6:$BC$24,15,0)</f>
        <v>206289.58000000002</v>
      </c>
    </row>
    <row r="21" spans="1:3" x14ac:dyDescent="0.25">
      <c r="A21" s="67"/>
      <c r="B21" s="69" t="s">
        <v>458</v>
      </c>
      <c r="C21" s="70">
        <f>HLOOKUP($B$4,'5.4 Tableau de l''endettement'!$C$6:$BC$24,16,0)</f>
        <v>1097.2850000000001</v>
      </c>
    </row>
    <row r="22" spans="1:3" x14ac:dyDescent="0.25">
      <c r="A22" s="67"/>
      <c r="B22" s="7"/>
      <c r="C22" s="4"/>
    </row>
    <row r="23" spans="1:3" x14ac:dyDescent="0.25">
      <c r="A23" s="67"/>
      <c r="B23" s="99" t="s">
        <v>655</v>
      </c>
      <c r="C23" s="100">
        <f>HLOOKUP($B$4,'5.4 Tableau de l''endettement'!$C$6:$BC$24,18,0)</f>
        <v>-570550.01</v>
      </c>
    </row>
    <row r="24" spans="1:3" x14ac:dyDescent="0.25">
      <c r="A24" s="67"/>
      <c r="B24" s="69" t="s">
        <v>458</v>
      </c>
      <c r="C24" s="70">
        <f>HLOOKUP($B$4,'5.4 Tableau de l''endettement'!$C$6:$BC$24,19,0)</f>
        <v>-3034.8404787234044</v>
      </c>
    </row>
    <row r="25" spans="1:3" x14ac:dyDescent="0.25">
      <c r="A25" s="67"/>
      <c r="B25" s="67"/>
    </row>
    <row r="26" spans="1:3" x14ac:dyDescent="0.25">
      <c r="A26" s="67"/>
      <c r="B26" s="67"/>
    </row>
    <row r="27" spans="1:3" x14ac:dyDescent="0.25">
      <c r="A27" s="7" t="s">
        <v>653</v>
      </c>
      <c r="B27" s="67"/>
    </row>
    <row r="28" spans="1:3" x14ac:dyDescent="0.25">
      <c r="A28" s="67"/>
      <c r="B28" s="67"/>
    </row>
    <row r="29" spans="1:3" x14ac:dyDescent="0.25">
      <c r="A29" s="67">
        <v>10</v>
      </c>
      <c r="B29" s="67" t="s">
        <v>247</v>
      </c>
      <c r="C29" s="4">
        <f>HLOOKUP($B$4,'5.4 Tableau de l''endettement'!$C$6:$BC$49,24,0)</f>
        <v>866229.02</v>
      </c>
    </row>
    <row r="30" spans="1:3" x14ac:dyDescent="0.25">
      <c r="A30" s="67"/>
      <c r="B30" s="67"/>
      <c r="C30" s="4"/>
    </row>
    <row r="31" spans="1:3" x14ac:dyDescent="0.25">
      <c r="A31" s="67">
        <v>20</v>
      </c>
      <c r="B31" s="67" t="s">
        <v>259</v>
      </c>
      <c r="C31" s="4">
        <f>HLOOKUP($B$4,'5.4 Tableau de l''endettement'!$C$6:$BC$49,26,0)</f>
        <v>295678.96000000002</v>
      </c>
    </row>
    <row r="32" spans="1:3" x14ac:dyDescent="0.25">
      <c r="A32" s="67"/>
      <c r="B32" s="67"/>
      <c r="C32" s="4"/>
    </row>
    <row r="33" spans="1:3" x14ac:dyDescent="0.25">
      <c r="A33" s="67">
        <v>200</v>
      </c>
      <c r="B33" s="67" t="s">
        <v>460</v>
      </c>
      <c r="C33" s="4">
        <f>HLOOKUP($B$4,'5.4 Tableau de l''endettement'!$C$6:$BC$49,28,0)</f>
        <v>57543.88</v>
      </c>
    </row>
    <row r="34" spans="1:3" x14ac:dyDescent="0.25">
      <c r="A34" s="67"/>
      <c r="B34" s="67"/>
      <c r="C34" s="4"/>
    </row>
    <row r="35" spans="1:3" x14ac:dyDescent="0.25">
      <c r="A35" s="67">
        <v>201</v>
      </c>
      <c r="B35" s="67" t="s">
        <v>261</v>
      </c>
      <c r="C35" s="4">
        <f>HLOOKUP($B$4,'5.4 Tableau de l''endettement'!$C$6:$BC$49,30,0)</f>
        <v>0</v>
      </c>
    </row>
    <row r="36" spans="1:3" x14ac:dyDescent="0.25">
      <c r="A36" s="67"/>
      <c r="B36" s="67"/>
      <c r="C36" s="4"/>
    </row>
    <row r="37" spans="1:3" x14ac:dyDescent="0.25">
      <c r="A37" s="67">
        <v>206</v>
      </c>
      <c r="B37" s="67" t="s">
        <v>264</v>
      </c>
      <c r="C37" s="4">
        <f>HLOOKUP($B$4,'5.4 Tableau de l''endettement'!$C$6:$BC$49,32,0)</f>
        <v>148745.70000000001</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656</v>
      </c>
      <c r="C42" s="100">
        <f>HLOOKUP($B$4,'5.4 Tableau de l''endettement'!$C$6:$BC$49,37,0)</f>
        <v>206289.58000000002</v>
      </c>
    </row>
    <row r="43" spans="1:3" x14ac:dyDescent="0.25">
      <c r="A43" s="67"/>
      <c r="B43" s="69" t="s">
        <v>458</v>
      </c>
      <c r="C43" s="70">
        <f>HLOOKUP($B$4,'5.4 Tableau de l''endettement'!$C$6:$BC$49,38,0)</f>
        <v>1097.2850000000001</v>
      </c>
    </row>
    <row r="44" spans="1:3" x14ac:dyDescent="0.25">
      <c r="A44" s="67"/>
      <c r="B44" s="7"/>
      <c r="C44" s="4"/>
    </row>
    <row r="45" spans="1:3" x14ac:dyDescent="0.25">
      <c r="A45" s="67"/>
      <c r="B45" s="99" t="s">
        <v>657</v>
      </c>
      <c r="C45" s="100">
        <f>HLOOKUP($B$4,'5.4 Tableau de l''endettement'!$C$6:$BC$49,40,0)</f>
        <v>-570550.06000000006</v>
      </c>
    </row>
    <row r="46" spans="1:3" x14ac:dyDescent="0.25">
      <c r="A46" s="67"/>
      <c r="B46" s="69" t="s">
        <v>458</v>
      </c>
      <c r="C46" s="70">
        <f>HLOOKUP($B$4,'5.4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820</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764</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D13" sqref="D13"/>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762</v>
      </c>
      <c r="B1" s="7"/>
      <c r="C1" s="7"/>
      <c r="D1" s="7"/>
    </row>
    <row r="3" spans="1:5" ht="15.75" thickBot="1" x14ac:dyDescent="0.3"/>
    <row r="4" spans="1:5" ht="15.75" thickBot="1" x14ac:dyDescent="0.3">
      <c r="A4" t="s">
        <v>649</v>
      </c>
      <c r="D4" s="174" t="s">
        <v>25</v>
      </c>
    </row>
    <row r="7" spans="1:5" ht="21" x14ac:dyDescent="0.35">
      <c r="A7" s="102">
        <v>5</v>
      </c>
      <c r="B7" s="102"/>
      <c r="C7" s="102"/>
      <c r="D7" s="102" t="s">
        <v>193</v>
      </c>
      <c r="E7" s="185">
        <f>HLOOKUP($D$4,'6.1 Investissements'!$E$3:$BE$185,2,0)</f>
        <v>6219.65</v>
      </c>
    </row>
    <row r="8" spans="1:5" x14ac:dyDescent="0.25">
      <c r="A8" s="78"/>
      <c r="B8" s="69">
        <v>50</v>
      </c>
      <c r="C8" s="69"/>
      <c r="D8" s="69" t="s">
        <v>465</v>
      </c>
      <c r="E8" s="70">
        <f>SUM(E9:E16)</f>
        <v>0</v>
      </c>
    </row>
    <row r="9" spans="1:5" x14ac:dyDescent="0.25">
      <c r="C9">
        <v>500</v>
      </c>
      <c r="D9" t="s">
        <v>467</v>
      </c>
      <c r="E9" s="4">
        <f>HLOOKUP($D$4,'6.1 Investissements'!$E$3:$BE$185,4,0)</f>
        <v>0</v>
      </c>
    </row>
    <row r="10" spans="1:5" x14ac:dyDescent="0.25">
      <c r="C10">
        <v>501</v>
      </c>
      <c r="D10" t="s">
        <v>468</v>
      </c>
      <c r="E10" s="4">
        <f>HLOOKUP($D$4,'6.1 Investissements'!$E$3:$BE$185,5,0)</f>
        <v>0</v>
      </c>
    </row>
    <row r="11" spans="1:5" x14ac:dyDescent="0.25">
      <c r="C11">
        <v>502</v>
      </c>
      <c r="D11" t="s">
        <v>469</v>
      </c>
      <c r="E11" s="4">
        <f>HLOOKUP($D$4,'6.1 Investissements'!$E$3:$BE$185,6,0)</f>
        <v>0</v>
      </c>
    </row>
    <row r="12" spans="1:5" x14ac:dyDescent="0.25">
      <c r="C12">
        <v>503</v>
      </c>
      <c r="D12" t="s">
        <v>470</v>
      </c>
      <c r="E12" s="4">
        <f>HLOOKUP($D$4,'6.1 Investissements'!$E$3:$BE$185,7,0)</f>
        <v>0</v>
      </c>
    </row>
    <row r="13" spans="1:5" x14ac:dyDescent="0.25">
      <c r="C13">
        <v>504</v>
      </c>
      <c r="D13" t="s">
        <v>471</v>
      </c>
      <c r="E13" s="4">
        <f>HLOOKUP($D$4,'6.1 Investissements'!$E$3:$BE$185,8,0)</f>
        <v>0</v>
      </c>
    </row>
    <row r="14" spans="1:5" x14ac:dyDescent="0.25">
      <c r="C14">
        <v>505</v>
      </c>
      <c r="D14" t="s">
        <v>472</v>
      </c>
      <c r="E14" s="4">
        <f>HLOOKUP($D$4,'6.1 Investissements'!$E$3:$BE$185,9,0)</f>
        <v>0</v>
      </c>
    </row>
    <row r="15" spans="1:5" x14ac:dyDescent="0.25">
      <c r="C15">
        <v>506</v>
      </c>
      <c r="D15" t="s">
        <v>473</v>
      </c>
      <c r="E15" s="4">
        <f>HLOOKUP($D$4,'6.1 Investissements'!$E$3:$BE$185,10,0)</f>
        <v>0</v>
      </c>
    </row>
    <row r="16" spans="1:5" x14ac:dyDescent="0.25">
      <c r="C16">
        <v>509</v>
      </c>
      <c r="D16" t="s">
        <v>474</v>
      </c>
      <c r="E16" s="4">
        <f>HLOOKUP($D$4,'6.1 Investissements'!$E$3:$BE$185,11,0)</f>
        <v>0</v>
      </c>
    </row>
    <row r="18" spans="2:5" x14ac:dyDescent="0.25">
      <c r="B18" s="69">
        <v>51</v>
      </c>
      <c r="C18" s="69"/>
      <c r="D18" s="69" t="s">
        <v>466</v>
      </c>
      <c r="E18" s="70">
        <f>SUM(E19:E26)</f>
        <v>0</v>
      </c>
    </row>
    <row r="19" spans="2:5" x14ac:dyDescent="0.25">
      <c r="C19">
        <v>510</v>
      </c>
      <c r="D19" t="s">
        <v>467</v>
      </c>
      <c r="E19" s="4">
        <f>HLOOKUP($D$4,'6.1 Investissements'!$E$3:$BE$185,14,0)</f>
        <v>0</v>
      </c>
    </row>
    <row r="20" spans="2:5" x14ac:dyDescent="0.25">
      <c r="C20">
        <v>511</v>
      </c>
      <c r="D20" t="s">
        <v>468</v>
      </c>
      <c r="E20" s="4">
        <f>HLOOKUP($D$4,'6.1 Investissements'!$E$3:$BE$185,15,0)</f>
        <v>0</v>
      </c>
    </row>
    <row r="21" spans="2:5" x14ac:dyDescent="0.25">
      <c r="C21">
        <v>512</v>
      </c>
      <c r="D21" t="s">
        <v>469</v>
      </c>
      <c r="E21" s="4">
        <f>HLOOKUP($D$4,'6.1 Investissements'!$E$3:$BE$185,16,0)</f>
        <v>0</v>
      </c>
    </row>
    <row r="22" spans="2:5" x14ac:dyDescent="0.25">
      <c r="C22">
        <v>513</v>
      </c>
      <c r="D22" t="s">
        <v>470</v>
      </c>
      <c r="E22" s="4">
        <f>HLOOKUP($D$4,'6.1 Investissements'!$E$3:$BE$185,17,0)</f>
        <v>0</v>
      </c>
    </row>
    <row r="23" spans="2:5" x14ac:dyDescent="0.25">
      <c r="C23">
        <v>514</v>
      </c>
      <c r="D23" t="s">
        <v>471</v>
      </c>
      <c r="E23" s="4">
        <f>HLOOKUP($D$4,'6.1 Investissements'!$E$3:$BE$185,18,0)</f>
        <v>0</v>
      </c>
    </row>
    <row r="24" spans="2:5" x14ac:dyDescent="0.25">
      <c r="C24">
        <v>515</v>
      </c>
      <c r="D24" t="s">
        <v>472</v>
      </c>
      <c r="E24" s="4">
        <f>HLOOKUP($D$4,'6.1 Investissements'!$E$3:$BE$185,19,0)</f>
        <v>0</v>
      </c>
    </row>
    <row r="25" spans="2:5" x14ac:dyDescent="0.25">
      <c r="C25">
        <v>516</v>
      </c>
      <c r="D25" t="s">
        <v>473</v>
      </c>
      <c r="E25" s="4">
        <f>HLOOKUP($D$4,'6.1 Investissements'!$E$3:$BE$185,20,0)</f>
        <v>0</v>
      </c>
    </row>
    <row r="26" spans="2:5" x14ac:dyDescent="0.25">
      <c r="C26">
        <v>519</v>
      </c>
      <c r="D26" t="s">
        <v>474</v>
      </c>
      <c r="E26" s="4">
        <f>HLOOKUP($D$4,'6.1 Investissements'!$E$3:$BE$185,21,0)</f>
        <v>0</v>
      </c>
    </row>
    <row r="28" spans="2:5" x14ac:dyDescent="0.25">
      <c r="B28" s="69">
        <v>52</v>
      </c>
      <c r="C28" s="69"/>
      <c r="D28" s="69" t="s">
        <v>475</v>
      </c>
      <c r="E28" s="70">
        <f>SUM(E29:E31)</f>
        <v>6219.65</v>
      </c>
    </row>
    <row r="29" spans="2:5" x14ac:dyDescent="0.25">
      <c r="C29">
        <v>520</v>
      </c>
      <c r="D29" t="s">
        <v>375</v>
      </c>
      <c r="E29" s="4">
        <f>HLOOKUP($D$4,'6.1 Investissements'!$E$3:$BE$185,24,0)</f>
        <v>0</v>
      </c>
    </row>
    <row r="30" spans="2:5" x14ac:dyDescent="0.25">
      <c r="C30">
        <v>521</v>
      </c>
      <c r="D30" t="s">
        <v>376</v>
      </c>
      <c r="E30" s="4">
        <f>HLOOKUP($D$4,'6.1 Investissements'!$E$3:$BE$185,25,0)</f>
        <v>0</v>
      </c>
    </row>
    <row r="31" spans="2:5" x14ac:dyDescent="0.25">
      <c r="C31">
        <v>529</v>
      </c>
      <c r="D31" t="s">
        <v>476</v>
      </c>
      <c r="E31" s="4">
        <f>HLOOKUP($D$4,'6.1 Investissements'!$E$3:$BE$185,26,0)</f>
        <v>6219.65</v>
      </c>
    </row>
    <row r="33" spans="2:5" x14ac:dyDescent="0.25">
      <c r="B33" s="69">
        <v>54</v>
      </c>
      <c r="C33" s="69"/>
      <c r="D33" s="69" t="s">
        <v>257</v>
      </c>
      <c r="E33" s="70">
        <f>SUM(E34:E42)</f>
        <v>0</v>
      </c>
    </row>
    <row r="34" spans="2:5" x14ac:dyDescent="0.25">
      <c r="C34">
        <v>540</v>
      </c>
      <c r="D34" t="s">
        <v>477</v>
      </c>
      <c r="E34" s="4">
        <f>HLOOKUP($D$4,'6.1 Investissements'!$E$3:$BE$185,29,0)</f>
        <v>0</v>
      </c>
    </row>
    <row r="35" spans="2:5" x14ac:dyDescent="0.25">
      <c r="C35">
        <v>541</v>
      </c>
      <c r="D35" t="s">
        <v>478</v>
      </c>
      <c r="E35" s="4">
        <f>HLOOKUP($D$4,'6.1 Investissements'!$E$3:$BE$185,30,0)</f>
        <v>0</v>
      </c>
    </row>
    <row r="36" spans="2:5" x14ac:dyDescent="0.25">
      <c r="C36">
        <v>542</v>
      </c>
      <c r="D36" t="s">
        <v>479</v>
      </c>
      <c r="E36" s="4">
        <f>HLOOKUP($D$4,'6.1 Investissements'!$E$3:$BE$185,31,0)</f>
        <v>0</v>
      </c>
    </row>
    <row r="37" spans="2:5" x14ac:dyDescent="0.25">
      <c r="C37">
        <v>543</v>
      </c>
      <c r="D37" t="s">
        <v>480</v>
      </c>
      <c r="E37" s="4">
        <f>HLOOKUP($D$4,'6.1 Investissements'!$E$3:$BE$185,32,0)</f>
        <v>0</v>
      </c>
    </row>
    <row r="38" spans="2:5" x14ac:dyDescent="0.25">
      <c r="C38">
        <v>544</v>
      </c>
      <c r="D38" t="s">
        <v>481</v>
      </c>
      <c r="E38" s="4">
        <f>HLOOKUP($D$4,'6.1 Investissements'!$E$3:$BE$185,33,0)</f>
        <v>0</v>
      </c>
    </row>
    <row r="39" spans="2:5" x14ac:dyDescent="0.25">
      <c r="C39">
        <v>545</v>
      </c>
      <c r="D39" t="s">
        <v>482</v>
      </c>
      <c r="E39" s="4">
        <f>HLOOKUP($D$4,'6.1 Investissements'!$E$3:$BE$185,34,0)</f>
        <v>0</v>
      </c>
    </row>
    <row r="40" spans="2:5" x14ac:dyDescent="0.25">
      <c r="C40">
        <v>546</v>
      </c>
      <c r="D40" t="s">
        <v>483</v>
      </c>
      <c r="E40" s="4">
        <f>HLOOKUP($D$4,'6.1 Investissements'!$E$3:$BE$185,35,0)</f>
        <v>0</v>
      </c>
    </row>
    <row r="41" spans="2:5" x14ac:dyDescent="0.25">
      <c r="C41">
        <v>547</v>
      </c>
      <c r="D41" t="s">
        <v>484</v>
      </c>
      <c r="E41" s="4">
        <f>HLOOKUP($D$4,'6.1 Investissements'!$E$3:$BE$185,36,0)</f>
        <v>0</v>
      </c>
    </row>
    <row r="42" spans="2:5" x14ac:dyDescent="0.25">
      <c r="C42">
        <v>548</v>
      </c>
      <c r="D42" t="s">
        <v>485</v>
      </c>
      <c r="E42" s="4">
        <f>HLOOKUP($D$4,'6.1 Investissements'!$E$3:$BE$185,37,0)</f>
        <v>0</v>
      </c>
    </row>
    <row r="44" spans="2:5" x14ac:dyDescent="0.25">
      <c r="B44" s="69">
        <v>55</v>
      </c>
      <c r="C44" s="69"/>
      <c r="D44" s="69" t="s">
        <v>388</v>
      </c>
      <c r="E44" s="70">
        <f>SUM(E45:E53)</f>
        <v>0</v>
      </c>
    </row>
    <row r="45" spans="2:5" x14ac:dyDescent="0.25">
      <c r="C45">
        <v>550</v>
      </c>
      <c r="D45" t="s">
        <v>477</v>
      </c>
      <c r="E45" s="4">
        <f>HLOOKUP($D$4,'6.1 Investissements'!$E$3:$BE$185,40,0)</f>
        <v>0</v>
      </c>
    </row>
    <row r="46" spans="2:5" x14ac:dyDescent="0.25">
      <c r="C46">
        <v>551</v>
      </c>
      <c r="D46" t="s">
        <v>478</v>
      </c>
      <c r="E46" s="4">
        <f>HLOOKUP($D$4,'6.1 Investissements'!$E$3:$BE$185,41,0)</f>
        <v>0</v>
      </c>
    </row>
    <row r="47" spans="2:5" x14ac:dyDescent="0.25">
      <c r="C47">
        <v>552</v>
      </c>
      <c r="D47" t="s">
        <v>479</v>
      </c>
      <c r="E47" s="4">
        <f>HLOOKUP($D$4,'6.1 Investissements'!$E$3:$BE$185,42,0)</f>
        <v>0</v>
      </c>
    </row>
    <row r="48" spans="2:5" x14ac:dyDescent="0.25">
      <c r="C48">
        <v>553</v>
      </c>
      <c r="D48" t="s">
        <v>480</v>
      </c>
      <c r="E48" s="4">
        <f>HLOOKUP($D$4,'6.1 Investissements'!$E$3:$BE$185,43,0)</f>
        <v>0</v>
      </c>
    </row>
    <row r="49" spans="2:5" x14ac:dyDescent="0.25">
      <c r="C49">
        <v>554</v>
      </c>
      <c r="D49" t="s">
        <v>481</v>
      </c>
      <c r="E49" s="4">
        <f>HLOOKUP($D$4,'6.1 Investissements'!$E$3:$BE$185,44,0)</f>
        <v>0</v>
      </c>
    </row>
    <row r="50" spans="2:5" x14ac:dyDescent="0.25">
      <c r="C50">
        <v>555</v>
      </c>
      <c r="D50" t="s">
        <v>482</v>
      </c>
      <c r="E50" s="4">
        <f>HLOOKUP($D$4,'6.1 Investissements'!$E$3:$BE$185,45,0)</f>
        <v>0</v>
      </c>
    </row>
    <row r="51" spans="2:5" x14ac:dyDescent="0.25">
      <c r="C51">
        <v>556</v>
      </c>
      <c r="D51" t="s">
        <v>483</v>
      </c>
      <c r="E51" s="4">
        <f>HLOOKUP($D$4,'6.1 Investissements'!$E$3:$BE$185,46,0)</f>
        <v>0</v>
      </c>
    </row>
    <row r="52" spans="2:5" x14ac:dyDescent="0.25">
      <c r="C52">
        <v>557</v>
      </c>
      <c r="D52" t="s">
        <v>484</v>
      </c>
      <c r="E52" s="4">
        <f>HLOOKUP($D$4,'6.1 Investissements'!$E$3:$BE$185,47,0)</f>
        <v>0</v>
      </c>
    </row>
    <row r="53" spans="2:5" x14ac:dyDescent="0.25">
      <c r="C53">
        <v>558</v>
      </c>
      <c r="D53" t="s">
        <v>485</v>
      </c>
      <c r="E53" s="4">
        <f>HLOOKUP($D$4,'6.1 Investissements'!$E$3:$BE$185,48,0)</f>
        <v>0</v>
      </c>
    </row>
    <row r="55" spans="2:5" x14ac:dyDescent="0.25">
      <c r="B55" s="69">
        <v>56</v>
      </c>
      <c r="C55" s="69"/>
      <c r="D55" s="69" t="s">
        <v>486</v>
      </c>
      <c r="E55" s="70">
        <f>SUM(E56:E64)</f>
        <v>0</v>
      </c>
    </row>
    <row r="56" spans="2:5" x14ac:dyDescent="0.25">
      <c r="C56">
        <v>560</v>
      </c>
      <c r="D56" t="s">
        <v>477</v>
      </c>
      <c r="E56" s="4">
        <f>HLOOKUP($D$4,'6.1 Investissements'!$E$3:$BE$185,51,0)</f>
        <v>0</v>
      </c>
    </row>
    <row r="57" spans="2:5" x14ac:dyDescent="0.25">
      <c r="C57">
        <v>561</v>
      </c>
      <c r="D57" t="s">
        <v>478</v>
      </c>
      <c r="E57" s="4">
        <f>HLOOKUP($D$4,'6.1 Investissements'!$E$3:$BE$185,52,0)</f>
        <v>0</v>
      </c>
    </row>
    <row r="58" spans="2:5" x14ac:dyDescent="0.25">
      <c r="C58">
        <v>562</v>
      </c>
      <c r="D58" t="s">
        <v>479</v>
      </c>
      <c r="E58" s="4">
        <f>HLOOKUP($D$4,'6.1 Investissements'!$E$3:$BE$185,53,0)</f>
        <v>0</v>
      </c>
    </row>
    <row r="59" spans="2:5" x14ac:dyDescent="0.25">
      <c r="C59">
        <v>563</v>
      </c>
      <c r="D59" t="s">
        <v>480</v>
      </c>
      <c r="E59" s="4">
        <f>HLOOKUP($D$4,'6.1 Investissements'!$E$3:$BE$185,54,0)</f>
        <v>0</v>
      </c>
    </row>
    <row r="60" spans="2:5" x14ac:dyDescent="0.25">
      <c r="C60">
        <v>564</v>
      </c>
      <c r="D60" t="s">
        <v>481</v>
      </c>
      <c r="E60" s="4">
        <f>HLOOKUP($D$4,'6.1 Investissements'!$E$3:$BE$185,55,0)</f>
        <v>0</v>
      </c>
    </row>
    <row r="61" spans="2:5" x14ac:dyDescent="0.25">
      <c r="C61">
        <v>565</v>
      </c>
      <c r="D61" t="s">
        <v>482</v>
      </c>
      <c r="E61" s="4">
        <f>HLOOKUP($D$4,'6.1 Investissements'!$E$3:$BE$185,56,0)</f>
        <v>0</v>
      </c>
    </row>
    <row r="62" spans="2:5" x14ac:dyDescent="0.25">
      <c r="C62">
        <v>566</v>
      </c>
      <c r="D62" t="s">
        <v>483</v>
      </c>
      <c r="E62" s="4">
        <f>HLOOKUP($D$4,'6.1 Investissements'!$E$3:$BE$185,57,0)</f>
        <v>0</v>
      </c>
    </row>
    <row r="63" spans="2:5" x14ac:dyDescent="0.25">
      <c r="C63">
        <v>567</v>
      </c>
      <c r="D63" t="s">
        <v>484</v>
      </c>
      <c r="E63" s="4">
        <f>HLOOKUP($D$4,'6.1 Investissements'!$E$3:$BE$185,58,0)</f>
        <v>0</v>
      </c>
    </row>
    <row r="64" spans="2:5" x14ac:dyDescent="0.25">
      <c r="C64">
        <v>568</v>
      </c>
      <c r="D64" t="s">
        <v>485</v>
      </c>
      <c r="E64" s="4">
        <f>HLOOKUP($D$4,'6.1 Investissements'!$E$3:$BE$185,59,0)</f>
        <v>0</v>
      </c>
    </row>
    <row r="66" spans="2:5" x14ac:dyDescent="0.25">
      <c r="B66" s="69">
        <v>57</v>
      </c>
      <c r="C66" s="69"/>
      <c r="D66" s="69" t="s">
        <v>487</v>
      </c>
      <c r="E66" s="70">
        <f>SUM(E67:E75)</f>
        <v>0</v>
      </c>
    </row>
    <row r="67" spans="2:5" x14ac:dyDescent="0.25">
      <c r="C67">
        <v>570</v>
      </c>
      <c r="D67" t="s">
        <v>477</v>
      </c>
      <c r="E67" s="4">
        <f>HLOOKUP($D$4,'6.1 Investissements'!$E$3:$BE$185,62,0)</f>
        <v>0</v>
      </c>
    </row>
    <row r="68" spans="2:5" x14ac:dyDescent="0.25">
      <c r="C68">
        <v>571</v>
      </c>
      <c r="D68" t="s">
        <v>478</v>
      </c>
      <c r="E68" s="4">
        <f>HLOOKUP($D$4,'6.1 Investissements'!$E$3:$BE$185,63,0)</f>
        <v>0</v>
      </c>
    </row>
    <row r="69" spans="2:5" x14ac:dyDescent="0.25">
      <c r="C69">
        <v>572</v>
      </c>
      <c r="D69" t="s">
        <v>479</v>
      </c>
      <c r="E69" s="4">
        <f>HLOOKUP($D$4,'6.1 Investissements'!$E$3:$BE$185,64,0)</f>
        <v>0</v>
      </c>
    </row>
    <row r="70" spans="2:5" x14ac:dyDescent="0.25">
      <c r="C70">
        <v>573</v>
      </c>
      <c r="D70" t="s">
        <v>480</v>
      </c>
      <c r="E70" s="4">
        <f>HLOOKUP($D$4,'6.1 Investissements'!$E$3:$BE$185,65,0)</f>
        <v>0</v>
      </c>
    </row>
    <row r="71" spans="2:5" x14ac:dyDescent="0.25">
      <c r="C71">
        <v>574</v>
      </c>
      <c r="D71" t="s">
        <v>481</v>
      </c>
      <c r="E71" s="4">
        <f>HLOOKUP($D$4,'6.1 Investissements'!$E$3:$BE$185,66,0)</f>
        <v>0</v>
      </c>
    </row>
    <row r="72" spans="2:5" x14ac:dyDescent="0.25">
      <c r="C72">
        <v>575</v>
      </c>
      <c r="D72" t="s">
        <v>482</v>
      </c>
      <c r="E72" s="4">
        <f>HLOOKUP($D$4,'6.1 Investissements'!$E$3:$BE$185,67,0)</f>
        <v>0</v>
      </c>
    </row>
    <row r="73" spans="2:5" x14ac:dyDescent="0.25">
      <c r="C73">
        <v>576</v>
      </c>
      <c r="D73" t="s">
        <v>483</v>
      </c>
      <c r="E73" s="4">
        <f>HLOOKUP($D$4,'6.1 Investissements'!$E$3:$BE$185,68,0)</f>
        <v>0</v>
      </c>
    </row>
    <row r="74" spans="2:5" x14ac:dyDescent="0.25">
      <c r="C74">
        <v>577</v>
      </c>
      <c r="D74" t="s">
        <v>484</v>
      </c>
      <c r="E74" s="4">
        <f>HLOOKUP($D$4,'6.1 Investissements'!$E$3:$BE$185,69,0)</f>
        <v>0</v>
      </c>
    </row>
    <row r="75" spans="2:5" x14ac:dyDescent="0.25">
      <c r="C75">
        <v>578</v>
      </c>
      <c r="D75" t="s">
        <v>485</v>
      </c>
      <c r="E75" s="4">
        <f>HLOOKUP($D$4,'6.1 Investissements'!$E$3:$BE$185,70,0)</f>
        <v>0</v>
      </c>
    </row>
    <row r="77" spans="2:5" x14ac:dyDescent="0.25">
      <c r="B77" s="69">
        <v>58</v>
      </c>
      <c r="C77" s="69"/>
      <c r="D77" s="69" t="s">
        <v>488</v>
      </c>
      <c r="E77" s="70">
        <f>SUM(E78:E83)</f>
        <v>0</v>
      </c>
    </row>
    <row r="78" spans="2:5" x14ac:dyDescent="0.25">
      <c r="C78">
        <v>580</v>
      </c>
      <c r="D78" t="s">
        <v>465</v>
      </c>
      <c r="E78" s="4">
        <f>HLOOKUP($D$4,'6.1 Investissements'!$E$3:$BE$185,73,0)</f>
        <v>0</v>
      </c>
    </row>
    <row r="79" spans="2:5" x14ac:dyDescent="0.25">
      <c r="C79">
        <v>582</v>
      </c>
      <c r="D79" t="s">
        <v>475</v>
      </c>
      <c r="E79" s="4">
        <f>HLOOKUP($D$4,'6.1 Investissements'!$E$3:$BE$185,74,0)</f>
        <v>0</v>
      </c>
    </row>
    <row r="80" spans="2:5" x14ac:dyDescent="0.25">
      <c r="C80">
        <v>584</v>
      </c>
      <c r="D80" t="s">
        <v>257</v>
      </c>
      <c r="E80" s="4">
        <f>HLOOKUP($D$4,'6.1 Investissements'!$E$3:$BE$185,75,0)</f>
        <v>0</v>
      </c>
    </row>
    <row r="81" spans="1:5" x14ac:dyDescent="0.25">
      <c r="C81">
        <v>585</v>
      </c>
      <c r="D81" t="s">
        <v>388</v>
      </c>
      <c r="E81" s="4">
        <f>HLOOKUP($D$4,'6.1 Investissements'!$E$3:$BE$185,76,0)</f>
        <v>0</v>
      </c>
    </row>
    <row r="82" spans="1:5" x14ac:dyDescent="0.25">
      <c r="C82">
        <v>586</v>
      </c>
      <c r="D82" t="s">
        <v>489</v>
      </c>
      <c r="E82" s="4">
        <f>HLOOKUP($D$4,'6.1 Investissements'!$E$3:$BE$185,77,0)</f>
        <v>0</v>
      </c>
    </row>
    <row r="83" spans="1:5" x14ac:dyDescent="0.25">
      <c r="C83">
        <v>589</v>
      </c>
      <c r="D83" t="s">
        <v>490</v>
      </c>
      <c r="E83" s="4">
        <f>HLOOKUP($D$4,'6.1 Investissements'!$E$3:$BE$185,78,0)</f>
        <v>0</v>
      </c>
    </row>
    <row r="85" spans="1:5" x14ac:dyDescent="0.25">
      <c r="B85" s="69">
        <v>59</v>
      </c>
      <c r="C85" s="69"/>
      <c r="D85" s="69" t="s">
        <v>491</v>
      </c>
      <c r="E85" s="70">
        <f>SUM(E86)</f>
        <v>0</v>
      </c>
    </row>
    <row r="86" spans="1:5" x14ac:dyDescent="0.25">
      <c r="C86">
        <v>590</v>
      </c>
      <c r="D86" t="s">
        <v>491</v>
      </c>
      <c r="E86" s="4">
        <f>HLOOKUP($D$4,'6.1 Investissements'!$E$3:$BE$185,81,0)</f>
        <v>0</v>
      </c>
    </row>
    <row r="90" spans="1:5" ht="21" x14ac:dyDescent="0.35">
      <c r="A90" s="104">
        <v>6</v>
      </c>
      <c r="B90" s="104"/>
      <c r="C90" s="104"/>
      <c r="D90" s="104" t="s">
        <v>492</v>
      </c>
      <c r="E90" s="186">
        <f>HLOOKUP($D$4,'6.1 Investissements'!$E$3:$BE$185,85,0)</f>
        <v>0</v>
      </c>
    </row>
    <row r="91" spans="1:5" x14ac:dyDescent="0.25">
      <c r="A91" s="7"/>
      <c r="B91" s="105">
        <v>60</v>
      </c>
      <c r="C91" s="105"/>
      <c r="D91" s="105" t="s">
        <v>493</v>
      </c>
      <c r="E91" s="103">
        <f>SUM(E92:E99)</f>
        <v>0</v>
      </c>
    </row>
    <row r="92" spans="1:5" x14ac:dyDescent="0.25">
      <c r="C92">
        <v>600</v>
      </c>
      <c r="D92" t="s">
        <v>467</v>
      </c>
      <c r="E92" s="4">
        <f>HLOOKUP($D$4,'6.1 Investissements'!$E$3:$BE$185,87,0)</f>
        <v>0</v>
      </c>
    </row>
    <row r="93" spans="1:5" x14ac:dyDescent="0.25">
      <c r="C93">
        <v>601</v>
      </c>
      <c r="D93" t="s">
        <v>468</v>
      </c>
      <c r="E93" s="4">
        <f>HLOOKUP($D$4,'6.1 Investissements'!$E$3:$BE$185,88,0)</f>
        <v>0</v>
      </c>
    </row>
    <row r="94" spans="1:5" x14ac:dyDescent="0.25">
      <c r="C94">
        <v>602</v>
      </c>
      <c r="D94" t="s">
        <v>469</v>
      </c>
      <c r="E94" s="4">
        <f>HLOOKUP($D$4,'6.1 Investissements'!$E$3:$BE$185,89,0)</f>
        <v>0</v>
      </c>
    </row>
    <row r="95" spans="1:5" x14ac:dyDescent="0.25">
      <c r="C95">
        <v>603</v>
      </c>
      <c r="D95" t="s">
        <v>470</v>
      </c>
      <c r="E95" s="4">
        <f>HLOOKUP($D$4,'6.1 Investissements'!$E$3:$BE$185,90,0)</f>
        <v>0</v>
      </c>
    </row>
    <row r="96" spans="1:5" x14ac:dyDescent="0.25">
      <c r="C96">
        <v>604</v>
      </c>
      <c r="D96" t="s">
        <v>471</v>
      </c>
      <c r="E96" s="4">
        <f>HLOOKUP($D$4,'6.1 Investissements'!$E$3:$BE$185,91,0)</f>
        <v>0</v>
      </c>
    </row>
    <row r="97" spans="2:5" x14ac:dyDescent="0.25">
      <c r="C97">
        <v>605</v>
      </c>
      <c r="D97" t="s">
        <v>472</v>
      </c>
      <c r="E97" s="4">
        <f>HLOOKUP($D$4,'6.1 Investissements'!$E$3:$BE$185,92,0)</f>
        <v>0</v>
      </c>
    </row>
    <row r="98" spans="2:5" x14ac:dyDescent="0.25">
      <c r="C98">
        <v>606</v>
      </c>
      <c r="D98" t="s">
        <v>473</v>
      </c>
      <c r="E98" s="4">
        <f>HLOOKUP($D$4,'6.1 Investissements'!$E$3:$BE$185,93,0)</f>
        <v>0</v>
      </c>
    </row>
    <row r="99" spans="2:5" x14ac:dyDescent="0.25">
      <c r="C99">
        <v>609</v>
      </c>
      <c r="D99" t="s">
        <v>474</v>
      </c>
      <c r="E99" s="4">
        <f>HLOOKUP($D$4,'6.1 Investissements'!$E$3:$BE$185,94,0)</f>
        <v>0</v>
      </c>
    </row>
    <row r="101" spans="2:5" x14ac:dyDescent="0.25">
      <c r="B101" s="105">
        <v>61</v>
      </c>
      <c r="C101" s="105"/>
      <c r="D101" s="105" t="s">
        <v>494</v>
      </c>
      <c r="E101" s="103">
        <f>SUM(E102:E109)</f>
        <v>0</v>
      </c>
    </row>
    <row r="102" spans="2:5" x14ac:dyDescent="0.25">
      <c r="C102">
        <v>610</v>
      </c>
      <c r="D102" t="s">
        <v>467</v>
      </c>
      <c r="E102" s="4">
        <f>HLOOKUP($D$4,'6.1 Investissements'!$E$3:$BE$185,97,0)</f>
        <v>0</v>
      </c>
    </row>
    <row r="103" spans="2:5" x14ac:dyDescent="0.25">
      <c r="C103">
        <v>611</v>
      </c>
      <c r="D103" t="s">
        <v>468</v>
      </c>
      <c r="E103" s="4">
        <f>HLOOKUP($D$4,'6.1 Investissements'!$E$3:$BE$185,98,0)</f>
        <v>0</v>
      </c>
    </row>
    <row r="104" spans="2:5" x14ac:dyDescent="0.25">
      <c r="C104">
        <v>612</v>
      </c>
      <c r="D104" t="s">
        <v>469</v>
      </c>
      <c r="E104" s="4">
        <f>HLOOKUP($D$4,'6.1 Investissements'!$E$3:$BE$185,99,0)</f>
        <v>0</v>
      </c>
    </row>
    <row r="105" spans="2:5" x14ac:dyDescent="0.25">
      <c r="C105">
        <v>613</v>
      </c>
      <c r="D105" t="s">
        <v>470</v>
      </c>
      <c r="E105" s="4">
        <f>HLOOKUP($D$4,'6.1 Investissements'!$E$3:$BE$185,100,0)</f>
        <v>0</v>
      </c>
    </row>
    <row r="106" spans="2:5" x14ac:dyDescent="0.25">
      <c r="C106">
        <v>614</v>
      </c>
      <c r="D106" t="s">
        <v>471</v>
      </c>
      <c r="E106" s="4">
        <f>HLOOKUP($D$4,'6.1 Investissements'!$E$3:$BE$185,101,0)</f>
        <v>0</v>
      </c>
    </row>
    <row r="107" spans="2:5" x14ac:dyDescent="0.25">
      <c r="C107">
        <v>615</v>
      </c>
      <c r="D107" t="s">
        <v>472</v>
      </c>
      <c r="E107" s="4">
        <f>HLOOKUP($D$4,'6.1 Investissements'!$E$3:$BE$185,102,0)</f>
        <v>0</v>
      </c>
    </row>
    <row r="108" spans="2:5" x14ac:dyDescent="0.25">
      <c r="C108">
        <v>616</v>
      </c>
      <c r="D108" t="s">
        <v>473</v>
      </c>
      <c r="E108" s="4">
        <f>HLOOKUP($D$4,'6.1 Investissements'!$E$3:$BE$185,103,0)</f>
        <v>0</v>
      </c>
    </row>
    <row r="109" spans="2:5" x14ac:dyDescent="0.25">
      <c r="C109">
        <v>619</v>
      </c>
      <c r="D109" t="s">
        <v>474</v>
      </c>
      <c r="E109" s="4">
        <f>HLOOKUP($D$4,'6.1 Investissements'!$E$3:$BE$185,104,0)</f>
        <v>0</v>
      </c>
    </row>
    <row r="111" spans="2:5" x14ac:dyDescent="0.25">
      <c r="B111" s="105">
        <v>62</v>
      </c>
      <c r="C111" s="105"/>
      <c r="D111" s="105" t="s">
        <v>495</v>
      </c>
      <c r="E111" s="103">
        <f>SUM(E112:E114)</f>
        <v>0</v>
      </c>
    </row>
    <row r="112" spans="2:5" x14ac:dyDescent="0.25">
      <c r="C112">
        <v>620</v>
      </c>
      <c r="D112" t="s">
        <v>375</v>
      </c>
      <c r="E112" s="4">
        <f>HLOOKUP($D$4,'6.1 Investissements'!$E$3:$BE$185,107,0)</f>
        <v>0</v>
      </c>
    </row>
    <row r="113" spans="2:5" x14ac:dyDescent="0.25">
      <c r="C113">
        <v>621</v>
      </c>
      <c r="D113" t="s">
        <v>376</v>
      </c>
      <c r="E113" s="4">
        <f>HLOOKUP($D$4,'6.1 Investissements'!$E$3:$BE$185,108,0)</f>
        <v>0</v>
      </c>
    </row>
    <row r="114" spans="2:5" x14ac:dyDescent="0.25">
      <c r="C114">
        <v>629</v>
      </c>
      <c r="D114" t="s">
        <v>476</v>
      </c>
      <c r="E114" s="4">
        <f>HLOOKUP($D$4,'6.1 Investissements'!$E$3:$BE$185,109,0)</f>
        <v>0</v>
      </c>
    </row>
    <row r="116" spans="2:5" x14ac:dyDescent="0.25">
      <c r="B116" s="105">
        <v>63</v>
      </c>
      <c r="C116" s="105"/>
      <c r="D116" s="105" t="s">
        <v>496</v>
      </c>
      <c r="E116" s="103">
        <f>SUM(E117:E125)</f>
        <v>0</v>
      </c>
    </row>
    <row r="117" spans="2:5" x14ac:dyDescent="0.25">
      <c r="C117">
        <v>630</v>
      </c>
      <c r="D117" t="s">
        <v>477</v>
      </c>
      <c r="E117" s="4">
        <f>HLOOKUP($D$4,'6.1 Investissements'!$E$3:$BE$185,112,0)</f>
        <v>0</v>
      </c>
    </row>
    <row r="118" spans="2:5" x14ac:dyDescent="0.25">
      <c r="C118">
        <v>631</v>
      </c>
      <c r="D118" t="s">
        <v>478</v>
      </c>
      <c r="E118" s="4">
        <f>HLOOKUP($D$4,'6.1 Investissements'!$E$3:$BE$185,113,0)</f>
        <v>0</v>
      </c>
    </row>
    <row r="119" spans="2:5" x14ac:dyDescent="0.25">
      <c r="C119">
        <v>632</v>
      </c>
      <c r="D119" t="s">
        <v>479</v>
      </c>
      <c r="E119" s="4">
        <f>HLOOKUP($D$4,'6.1 Investissements'!$E$3:$BE$185,114,0)</f>
        <v>0</v>
      </c>
    </row>
    <row r="120" spans="2:5" x14ac:dyDescent="0.25">
      <c r="C120">
        <v>633</v>
      </c>
      <c r="D120" t="s">
        <v>480</v>
      </c>
      <c r="E120" s="4">
        <f>HLOOKUP($D$4,'6.1 Investissements'!$E$3:$BE$185,115,0)</f>
        <v>0</v>
      </c>
    </row>
    <row r="121" spans="2:5" x14ac:dyDescent="0.25">
      <c r="C121">
        <v>634</v>
      </c>
      <c r="D121" t="s">
        <v>481</v>
      </c>
      <c r="E121" s="4">
        <f>HLOOKUP($D$4,'6.1 Investissements'!$E$3:$BE$185,116,0)</f>
        <v>0</v>
      </c>
    </row>
    <row r="122" spans="2:5" x14ac:dyDescent="0.25">
      <c r="C122">
        <v>635</v>
      </c>
      <c r="D122" t="s">
        <v>482</v>
      </c>
      <c r="E122" s="4">
        <f>HLOOKUP($D$4,'6.1 Investissements'!$E$3:$BE$185,117,0)</f>
        <v>0</v>
      </c>
    </row>
    <row r="123" spans="2:5" x14ac:dyDescent="0.25">
      <c r="C123">
        <v>636</v>
      </c>
      <c r="D123" t="s">
        <v>483</v>
      </c>
      <c r="E123" s="4">
        <f>HLOOKUP($D$4,'6.1 Investissements'!$E$3:$BE$185,118,0)</f>
        <v>0</v>
      </c>
    </row>
    <row r="124" spans="2:5" x14ac:dyDescent="0.25">
      <c r="C124">
        <v>637</v>
      </c>
      <c r="D124" t="s">
        <v>484</v>
      </c>
      <c r="E124" s="4">
        <f>HLOOKUP($D$4,'6.1 Investissements'!$E$3:$BE$185,119,0)</f>
        <v>0</v>
      </c>
    </row>
    <row r="125" spans="2:5" x14ac:dyDescent="0.25">
      <c r="C125">
        <v>638</v>
      </c>
      <c r="D125" t="s">
        <v>485</v>
      </c>
      <c r="E125" s="4">
        <f>HLOOKUP($D$4,'6.1 Investissements'!$E$3:$BE$185,120,0)</f>
        <v>0</v>
      </c>
    </row>
    <row r="127" spans="2:5" x14ac:dyDescent="0.25">
      <c r="B127" s="105">
        <v>64</v>
      </c>
      <c r="C127" s="105"/>
      <c r="D127" s="105" t="s">
        <v>497</v>
      </c>
      <c r="E127" s="103">
        <f>SUM(E128:E136)</f>
        <v>0</v>
      </c>
    </row>
    <row r="128" spans="2:5" x14ac:dyDescent="0.25">
      <c r="C128">
        <v>640</v>
      </c>
      <c r="D128" t="s">
        <v>477</v>
      </c>
      <c r="E128" s="4">
        <f>HLOOKUP($D$4,'6.1 Investissements'!$E$3:$BE$185,123,0)</f>
        <v>0</v>
      </c>
    </row>
    <row r="129" spans="2:5" x14ac:dyDescent="0.25">
      <c r="C129">
        <v>641</v>
      </c>
      <c r="D129" t="s">
        <v>478</v>
      </c>
      <c r="E129" s="4">
        <f>HLOOKUP($D$4,'6.1 Investissements'!$E$3:$BE$185,124,0)</f>
        <v>0</v>
      </c>
    </row>
    <row r="130" spans="2:5" x14ac:dyDescent="0.25">
      <c r="C130">
        <v>642</v>
      </c>
      <c r="D130" t="s">
        <v>479</v>
      </c>
      <c r="E130" s="4">
        <f>HLOOKUP($D$4,'6.1 Investissements'!$E$3:$BE$185,125,0)</f>
        <v>0</v>
      </c>
    </row>
    <row r="131" spans="2:5" x14ac:dyDescent="0.25">
      <c r="C131">
        <v>643</v>
      </c>
      <c r="D131" t="s">
        <v>480</v>
      </c>
      <c r="E131" s="4">
        <f>HLOOKUP($D$4,'6.1 Investissements'!$E$3:$BE$185,126,0)</f>
        <v>0</v>
      </c>
    </row>
    <row r="132" spans="2:5" x14ac:dyDescent="0.25">
      <c r="C132">
        <v>644</v>
      </c>
      <c r="D132" t="s">
        <v>481</v>
      </c>
      <c r="E132" s="4">
        <f>HLOOKUP($D$4,'6.1 Investissements'!$E$3:$BE$185,127,0)</f>
        <v>0</v>
      </c>
    </row>
    <row r="133" spans="2:5" x14ac:dyDescent="0.25">
      <c r="C133">
        <v>645</v>
      </c>
      <c r="D133" t="s">
        <v>482</v>
      </c>
      <c r="E133" s="4">
        <f>HLOOKUP($D$4,'6.1 Investissements'!$E$3:$BE$185,128,0)</f>
        <v>0</v>
      </c>
    </row>
    <row r="134" spans="2:5" x14ac:dyDescent="0.25">
      <c r="C134">
        <v>646</v>
      </c>
      <c r="D134" t="s">
        <v>483</v>
      </c>
      <c r="E134" s="4">
        <f>HLOOKUP($D$4,'6.1 Investissements'!$E$3:$BE$185,129,0)</f>
        <v>0</v>
      </c>
    </row>
    <row r="135" spans="2:5" x14ac:dyDescent="0.25">
      <c r="C135">
        <v>647</v>
      </c>
      <c r="D135" t="s">
        <v>484</v>
      </c>
      <c r="E135" s="4">
        <f>HLOOKUP($D$4,'6.1 Investissements'!$E$3:$BE$185,130,0)</f>
        <v>0</v>
      </c>
    </row>
    <row r="136" spans="2:5" x14ac:dyDescent="0.25">
      <c r="C136">
        <v>648</v>
      </c>
      <c r="D136" t="s">
        <v>485</v>
      </c>
      <c r="E136" s="4">
        <f>HLOOKUP($D$4,'6.1 Investissements'!$E$3:$BE$185,131,0)</f>
        <v>0</v>
      </c>
    </row>
    <row r="138" spans="2:5" x14ac:dyDescent="0.25">
      <c r="B138" s="105">
        <v>65</v>
      </c>
      <c r="C138" s="105"/>
      <c r="D138" s="105" t="s">
        <v>498</v>
      </c>
      <c r="E138" s="103">
        <f>SUM(E139:E147)</f>
        <v>0</v>
      </c>
    </row>
    <row r="139" spans="2:5" x14ac:dyDescent="0.25">
      <c r="C139">
        <v>650</v>
      </c>
      <c r="D139" t="s">
        <v>477</v>
      </c>
      <c r="E139" s="4">
        <f>HLOOKUP($D$4,'6.1 Investissements'!$E$3:$BE$185,134,0)</f>
        <v>0</v>
      </c>
    </row>
    <row r="140" spans="2:5" x14ac:dyDescent="0.25">
      <c r="C140">
        <v>651</v>
      </c>
      <c r="D140" t="s">
        <v>478</v>
      </c>
      <c r="E140" s="4">
        <f>HLOOKUP($D$4,'6.1 Investissements'!$E$3:$BE$185,135,0)</f>
        <v>0</v>
      </c>
    </row>
    <row r="141" spans="2:5" x14ac:dyDescent="0.25">
      <c r="C141">
        <v>652</v>
      </c>
      <c r="D141" t="s">
        <v>479</v>
      </c>
      <c r="E141" s="4">
        <f>HLOOKUP($D$4,'6.1 Investissements'!$E$3:$BE$185,136,0)</f>
        <v>0</v>
      </c>
    </row>
    <row r="142" spans="2:5" x14ac:dyDescent="0.25">
      <c r="C142">
        <v>653</v>
      </c>
      <c r="D142" t="s">
        <v>480</v>
      </c>
      <c r="E142" s="4">
        <f>HLOOKUP($D$4,'6.1 Investissements'!$E$3:$BE$185,137,0)</f>
        <v>0</v>
      </c>
    </row>
    <row r="143" spans="2:5" x14ac:dyDescent="0.25">
      <c r="C143">
        <v>654</v>
      </c>
      <c r="D143" t="s">
        <v>481</v>
      </c>
      <c r="E143" s="4">
        <f>HLOOKUP($D$4,'6.1 Investissements'!$E$3:$BE$185,138,0)</f>
        <v>0</v>
      </c>
    </row>
    <row r="144" spans="2:5" x14ac:dyDescent="0.25">
      <c r="C144">
        <v>655</v>
      </c>
      <c r="D144" t="s">
        <v>482</v>
      </c>
      <c r="E144" s="4">
        <f>HLOOKUP($D$4,'6.1 Investissements'!$E$3:$BE$185,139,0)</f>
        <v>0</v>
      </c>
    </row>
    <row r="145" spans="2:5" x14ac:dyDescent="0.25">
      <c r="C145">
        <v>656</v>
      </c>
      <c r="D145" t="s">
        <v>483</v>
      </c>
      <c r="E145" s="4">
        <f>HLOOKUP($D$4,'6.1 Investissements'!$E$3:$BE$185,140,0)</f>
        <v>0</v>
      </c>
    </row>
    <row r="146" spans="2:5" x14ac:dyDescent="0.25">
      <c r="C146">
        <v>657</v>
      </c>
      <c r="D146" t="s">
        <v>484</v>
      </c>
      <c r="E146" s="4">
        <f>HLOOKUP($D$4,'6.1 Investissements'!$E$3:$BE$185,141,0)</f>
        <v>0</v>
      </c>
    </row>
    <row r="147" spans="2:5" x14ac:dyDescent="0.25">
      <c r="C147">
        <v>658</v>
      </c>
      <c r="D147" t="s">
        <v>485</v>
      </c>
      <c r="E147" s="4">
        <f>HLOOKUP($D$4,'6.1 Investissements'!$E$3:$BE$185,142,0)</f>
        <v>0</v>
      </c>
    </row>
    <row r="149" spans="2:5" x14ac:dyDescent="0.25">
      <c r="B149" s="105">
        <v>66</v>
      </c>
      <c r="C149" s="105"/>
      <c r="D149" s="105" t="s">
        <v>499</v>
      </c>
      <c r="E149" s="103">
        <f>SUM(E150:E158)</f>
        <v>0</v>
      </c>
    </row>
    <row r="150" spans="2:5" x14ac:dyDescent="0.25">
      <c r="C150">
        <v>660</v>
      </c>
      <c r="D150" t="s">
        <v>477</v>
      </c>
      <c r="E150" s="4">
        <f>HLOOKUP($D$4,'6.1 Investissements'!$E$3:$BE$185,145,0)</f>
        <v>0</v>
      </c>
    </row>
    <row r="151" spans="2:5" x14ac:dyDescent="0.25">
      <c r="C151">
        <v>661</v>
      </c>
      <c r="D151" t="s">
        <v>478</v>
      </c>
      <c r="E151" s="4">
        <f>HLOOKUP($D$4,'6.1 Investissements'!$E$3:$BE$185,146,0)</f>
        <v>0</v>
      </c>
    </row>
    <row r="152" spans="2:5" x14ac:dyDescent="0.25">
      <c r="C152">
        <v>662</v>
      </c>
      <c r="D152" t="s">
        <v>479</v>
      </c>
      <c r="E152" s="4">
        <f>HLOOKUP($D$4,'6.1 Investissements'!$E$3:$BE$185,147,0)</f>
        <v>0</v>
      </c>
    </row>
    <row r="153" spans="2:5" x14ac:dyDescent="0.25">
      <c r="C153">
        <v>663</v>
      </c>
      <c r="D153" t="s">
        <v>480</v>
      </c>
      <c r="E153" s="4">
        <f>HLOOKUP($D$4,'6.1 Investissements'!$E$3:$BE$185,148,0)</f>
        <v>0</v>
      </c>
    </row>
    <row r="154" spans="2:5" x14ac:dyDescent="0.25">
      <c r="C154">
        <v>664</v>
      </c>
      <c r="D154" t="s">
        <v>481</v>
      </c>
      <c r="E154" s="4">
        <f>HLOOKUP($D$4,'6.1 Investissements'!$E$3:$BE$185,149,0)</f>
        <v>0</v>
      </c>
    </row>
    <row r="155" spans="2:5" x14ac:dyDescent="0.25">
      <c r="C155">
        <v>665</v>
      </c>
      <c r="D155" t="s">
        <v>482</v>
      </c>
      <c r="E155" s="4">
        <f>HLOOKUP($D$4,'6.1 Investissements'!$E$3:$BE$185,150,0)</f>
        <v>0</v>
      </c>
    </row>
    <row r="156" spans="2:5" x14ac:dyDescent="0.25">
      <c r="C156">
        <v>666</v>
      </c>
      <c r="D156" t="s">
        <v>483</v>
      </c>
      <c r="E156" s="4">
        <f>HLOOKUP($D$4,'6.1 Investissements'!$E$3:$BE$185,151,0)</f>
        <v>0</v>
      </c>
    </row>
    <row r="157" spans="2:5" x14ac:dyDescent="0.25">
      <c r="C157">
        <v>667</v>
      </c>
      <c r="D157" t="s">
        <v>484</v>
      </c>
      <c r="E157" s="4">
        <f>HLOOKUP($D$4,'6.1 Investissements'!$E$3:$BE$185,152,0)</f>
        <v>0</v>
      </c>
    </row>
    <row r="158" spans="2:5" x14ac:dyDescent="0.25">
      <c r="C158">
        <v>668</v>
      </c>
      <c r="D158" t="s">
        <v>485</v>
      </c>
      <c r="E158" s="4">
        <f>HLOOKUP($D$4,'6.1 Investissements'!$E$3:$BE$185,153,0)</f>
        <v>0</v>
      </c>
    </row>
    <row r="160" spans="2:5" x14ac:dyDescent="0.25">
      <c r="B160" s="105">
        <v>67</v>
      </c>
      <c r="C160" s="105"/>
      <c r="D160" s="105" t="s">
        <v>487</v>
      </c>
      <c r="E160" s="103">
        <f>SUM(E161:E169)</f>
        <v>0</v>
      </c>
    </row>
    <row r="161" spans="2:5" x14ac:dyDescent="0.25">
      <c r="C161">
        <v>670</v>
      </c>
      <c r="D161" t="s">
        <v>477</v>
      </c>
      <c r="E161" s="4">
        <f>HLOOKUP($D$4,'6.1 Investissements'!$E$3:$BE$185,156,0)</f>
        <v>0</v>
      </c>
    </row>
    <row r="162" spans="2:5" x14ac:dyDescent="0.25">
      <c r="C162">
        <v>671</v>
      </c>
      <c r="D162" t="s">
        <v>478</v>
      </c>
      <c r="E162" s="4">
        <f>HLOOKUP($D$4,'6.1 Investissements'!$E$3:$BE$185,157,0)</f>
        <v>0</v>
      </c>
    </row>
    <row r="163" spans="2:5" x14ac:dyDescent="0.25">
      <c r="C163">
        <v>672</v>
      </c>
      <c r="D163" t="s">
        <v>479</v>
      </c>
      <c r="E163" s="4">
        <f>HLOOKUP($D$4,'6.1 Investissements'!$E$3:$BE$185,158,0)</f>
        <v>0</v>
      </c>
    </row>
    <row r="164" spans="2:5" x14ac:dyDescent="0.25">
      <c r="C164">
        <v>673</v>
      </c>
      <c r="D164" t="s">
        <v>480</v>
      </c>
      <c r="E164" s="4">
        <f>HLOOKUP($D$4,'6.1 Investissements'!$E$3:$BE$185,159,0)</f>
        <v>0</v>
      </c>
    </row>
    <row r="165" spans="2:5" x14ac:dyDescent="0.25">
      <c r="C165">
        <v>674</v>
      </c>
      <c r="D165" t="s">
        <v>481</v>
      </c>
      <c r="E165" s="4">
        <f>HLOOKUP($D$4,'6.1 Investissements'!$E$3:$BE$185,160,0)</f>
        <v>0</v>
      </c>
    </row>
    <row r="166" spans="2:5" x14ac:dyDescent="0.25">
      <c r="C166">
        <v>675</v>
      </c>
      <c r="D166" t="s">
        <v>482</v>
      </c>
      <c r="E166" s="4">
        <f>HLOOKUP($D$4,'6.1 Investissements'!$E$3:$BE$185,161,0)</f>
        <v>0</v>
      </c>
    </row>
    <row r="167" spans="2:5" x14ac:dyDescent="0.25">
      <c r="C167">
        <v>676</v>
      </c>
      <c r="D167" t="s">
        <v>483</v>
      </c>
      <c r="E167" s="4">
        <f>HLOOKUP($D$4,'6.1 Investissements'!$E$3:$BE$185,162,0)</f>
        <v>0</v>
      </c>
    </row>
    <row r="168" spans="2:5" x14ac:dyDescent="0.25">
      <c r="C168">
        <v>677</v>
      </c>
      <c r="D168" t="s">
        <v>484</v>
      </c>
      <c r="E168" s="4">
        <f>HLOOKUP($D$4,'6.1 Investissements'!$E$3:$BE$185,163,0)</f>
        <v>0</v>
      </c>
    </row>
    <row r="169" spans="2:5" x14ac:dyDescent="0.25">
      <c r="C169">
        <v>678</v>
      </c>
      <c r="D169" t="s">
        <v>485</v>
      </c>
      <c r="E169" s="4">
        <f>HLOOKUP($D$4,'6.1 Investissements'!$E$3:$BE$185,164,0)</f>
        <v>0</v>
      </c>
    </row>
    <row r="171" spans="2:5" x14ac:dyDescent="0.25">
      <c r="B171" s="105">
        <v>68</v>
      </c>
      <c r="C171" s="105"/>
      <c r="D171" s="105" t="s">
        <v>500</v>
      </c>
      <c r="E171" s="187">
        <f>SUM(E172:E178)</f>
        <v>0</v>
      </c>
    </row>
    <row r="172" spans="2:5" x14ac:dyDescent="0.25">
      <c r="C172">
        <v>680</v>
      </c>
      <c r="D172" t="s">
        <v>465</v>
      </c>
      <c r="E172" s="4">
        <f>HLOOKUP($D$4,'6.1 Investissements'!$E$3:$BE$185,167,0)</f>
        <v>0</v>
      </c>
    </row>
    <row r="173" spans="2:5" x14ac:dyDescent="0.25">
      <c r="C173">
        <v>682</v>
      </c>
      <c r="D173" t="s">
        <v>475</v>
      </c>
      <c r="E173" s="4">
        <f>HLOOKUP($D$4,'6.1 Investissements'!$E$3:$BE$185,168,0)</f>
        <v>0</v>
      </c>
    </row>
    <row r="174" spans="2:5" x14ac:dyDescent="0.25">
      <c r="C174">
        <v>683</v>
      </c>
      <c r="D174" t="s">
        <v>501</v>
      </c>
      <c r="E174" s="4">
        <f>HLOOKUP($D$4,'6.1 Investissements'!$E$3:$BE$185,169,0)</f>
        <v>0</v>
      </c>
    </row>
    <row r="175" spans="2:5" x14ac:dyDescent="0.25">
      <c r="C175">
        <v>684</v>
      </c>
      <c r="D175" t="s">
        <v>257</v>
      </c>
      <c r="E175" s="4">
        <f>HLOOKUP($D$4,'6.1 Investissements'!$E$3:$BE$185,170,0)</f>
        <v>0</v>
      </c>
    </row>
    <row r="176" spans="2:5" x14ac:dyDescent="0.25">
      <c r="C176">
        <v>685</v>
      </c>
      <c r="D176" t="s">
        <v>388</v>
      </c>
      <c r="E176" s="4">
        <f>HLOOKUP($D$4,'6.1 Investissements'!$E$3:$BE$185,171,0)</f>
        <v>0</v>
      </c>
    </row>
    <row r="177" spans="2:5" x14ac:dyDescent="0.25">
      <c r="C177">
        <v>686</v>
      </c>
      <c r="D177" t="s">
        <v>502</v>
      </c>
      <c r="E177" s="4">
        <f>HLOOKUP($D$4,'6.1 Investissements'!$E$3:$BE$185,172,0)</f>
        <v>0</v>
      </c>
    </row>
    <row r="178" spans="2:5" x14ac:dyDescent="0.25">
      <c r="C178">
        <v>689</v>
      </c>
      <c r="D178" t="s">
        <v>503</v>
      </c>
      <c r="E178" s="4">
        <f>HLOOKUP($D$4,'6.1 Investissements'!$E$3:$BE$185,173,0)</f>
        <v>0</v>
      </c>
    </row>
    <row r="180" spans="2:5" x14ac:dyDescent="0.25">
      <c r="B180" s="105">
        <v>69</v>
      </c>
      <c r="C180" s="105"/>
      <c r="D180" s="105" t="s">
        <v>504</v>
      </c>
      <c r="E180" s="103">
        <f>SUM(E181)</f>
        <v>6219.65</v>
      </c>
    </row>
    <row r="181" spans="2:5" x14ac:dyDescent="0.25">
      <c r="C181">
        <v>690</v>
      </c>
      <c r="D181" t="s">
        <v>504</v>
      </c>
      <c r="E181" s="4">
        <f>HLOOKUP($D$4,'6.1 Investissements'!$E$3:$BE$185,176,0)</f>
        <v>6219.65</v>
      </c>
    </row>
    <row r="185" spans="2:5" ht="18.75" x14ac:dyDescent="0.3">
      <c r="D185" s="188" t="s">
        <v>225</v>
      </c>
      <c r="E185" s="189">
        <f>HLOOKUP($D$4,'6.1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'6.1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0" t="s">
        <v>505</v>
      </c>
      <c r="B8" s="190"/>
      <c r="C8" s="190"/>
      <c r="D8" s="190"/>
      <c r="E8" s="190"/>
      <c r="F8" s="190"/>
      <c r="G8" s="190"/>
      <c r="H8" s="190"/>
    </row>
    <row r="10" spans="1:8" x14ac:dyDescent="0.25">
      <c r="A10" s="184" t="s">
        <v>661</v>
      </c>
    </row>
    <row r="12" spans="1:8" x14ac:dyDescent="0.25">
      <c r="A12" s="7" t="s">
        <v>506</v>
      </c>
    </row>
    <row r="14" spans="1:8" ht="90" customHeight="1" x14ac:dyDescent="0.25">
      <c r="A14" s="217" t="s">
        <v>662</v>
      </c>
      <c r="B14" s="218"/>
      <c r="C14" s="218"/>
      <c r="D14" s="218"/>
      <c r="E14" s="218"/>
      <c r="F14" s="218"/>
      <c r="G14" s="218"/>
      <c r="H14" s="219"/>
    </row>
    <row r="16" spans="1:8" x14ac:dyDescent="0.25">
      <c r="A16" s="3"/>
      <c r="B16" s="3" t="s">
        <v>663</v>
      </c>
      <c r="C16" s="3" t="s">
        <v>664</v>
      </c>
      <c r="D16" t="s">
        <v>665</v>
      </c>
    </row>
    <row r="17" spans="1:8" x14ac:dyDescent="0.25">
      <c r="C17" s="3" t="s">
        <v>666</v>
      </c>
      <c r="D17" t="s">
        <v>667</v>
      </c>
    </row>
    <row r="18" spans="1:8" x14ac:dyDescent="0.25">
      <c r="C18" s="3" t="s">
        <v>668</v>
      </c>
      <c r="D18" t="s">
        <v>669</v>
      </c>
    </row>
    <row r="19" spans="1:8" x14ac:dyDescent="0.25">
      <c r="C19" s="3" t="s">
        <v>670</v>
      </c>
      <c r="D19" t="s">
        <v>671</v>
      </c>
    </row>
    <row r="20" spans="1:8" x14ac:dyDescent="0.25">
      <c r="C20" s="3" t="s">
        <v>672</v>
      </c>
      <c r="D20" t="s">
        <v>673</v>
      </c>
    </row>
    <row r="22" spans="1:8" x14ac:dyDescent="0.25">
      <c r="A22" s="7" t="s">
        <v>517</v>
      </c>
    </row>
    <row r="24" spans="1:8" ht="90" customHeight="1" x14ac:dyDescent="0.25">
      <c r="A24" s="217" t="s">
        <v>674</v>
      </c>
      <c r="B24" s="218"/>
      <c r="C24" s="218"/>
      <c r="D24" s="218"/>
      <c r="E24" s="218"/>
      <c r="F24" s="218"/>
      <c r="G24" s="218"/>
      <c r="H24" s="219"/>
    </row>
    <row r="26" spans="1:8" x14ac:dyDescent="0.25">
      <c r="A26" s="3"/>
      <c r="B26" s="3" t="s">
        <v>675</v>
      </c>
      <c r="C26" s="3" t="s">
        <v>676</v>
      </c>
      <c r="D26" t="s">
        <v>677</v>
      </c>
    </row>
    <row r="27" spans="1:8" x14ac:dyDescent="0.25">
      <c r="C27" s="3" t="s">
        <v>678</v>
      </c>
      <c r="D27" t="s">
        <v>679</v>
      </c>
    </row>
    <row r="28" spans="1:8" x14ac:dyDescent="0.25">
      <c r="C28" s="3" t="s">
        <v>680</v>
      </c>
      <c r="D28" t="s">
        <v>681</v>
      </c>
    </row>
    <row r="30" spans="1:8" x14ac:dyDescent="0.25">
      <c r="A30" s="7" t="s">
        <v>579</v>
      </c>
    </row>
    <row r="32" spans="1:8" ht="90" customHeight="1" x14ac:dyDescent="0.25">
      <c r="A32" s="217" t="s">
        <v>682</v>
      </c>
      <c r="B32" s="218"/>
      <c r="C32" s="218"/>
      <c r="D32" s="218"/>
      <c r="E32" s="218"/>
      <c r="F32" s="218"/>
      <c r="G32" s="218"/>
      <c r="H32" s="219"/>
    </row>
    <row r="34" spans="1:8" x14ac:dyDescent="0.25">
      <c r="A34" s="3"/>
      <c r="B34" s="3" t="s">
        <v>675</v>
      </c>
      <c r="C34" s="3" t="s">
        <v>683</v>
      </c>
      <c r="D34" t="s">
        <v>684</v>
      </c>
    </row>
    <row r="35" spans="1:8" x14ac:dyDescent="0.25">
      <c r="C35" s="191" t="s">
        <v>685</v>
      </c>
      <c r="D35" t="s">
        <v>686</v>
      </c>
    </row>
    <row r="36" spans="1:8" x14ac:dyDescent="0.25">
      <c r="C36" s="3" t="s">
        <v>687</v>
      </c>
      <c r="D36" t="s">
        <v>688</v>
      </c>
    </row>
    <row r="37" spans="1:8" x14ac:dyDescent="0.25">
      <c r="C37" s="3" t="s">
        <v>689</v>
      </c>
      <c r="D37" t="s">
        <v>690</v>
      </c>
    </row>
    <row r="38" spans="1:8" x14ac:dyDescent="0.25">
      <c r="C38" s="3" t="s">
        <v>691</v>
      </c>
      <c r="D38" t="s">
        <v>692</v>
      </c>
    </row>
    <row r="40" spans="1:8" x14ac:dyDescent="0.25">
      <c r="A40" s="7" t="s">
        <v>580</v>
      </c>
    </row>
    <row r="42" spans="1:8" ht="90" customHeight="1" x14ac:dyDescent="0.25">
      <c r="A42" s="217" t="s">
        <v>693</v>
      </c>
      <c r="B42" s="218"/>
      <c r="C42" s="218"/>
      <c r="D42" s="218"/>
      <c r="E42" s="218"/>
      <c r="F42" s="218"/>
      <c r="G42" s="218"/>
      <c r="H42" s="219"/>
    </row>
    <row r="44" spans="1:8" x14ac:dyDescent="0.25">
      <c r="A44" s="3"/>
      <c r="B44" s="3" t="s">
        <v>675</v>
      </c>
    </row>
    <row r="45" spans="1:8" x14ac:dyDescent="0.25">
      <c r="C45" s="3" t="s">
        <v>694</v>
      </c>
      <c r="D45" t="s">
        <v>695</v>
      </c>
    </row>
    <row r="46" spans="1:8" x14ac:dyDescent="0.25">
      <c r="C46" s="3" t="s">
        <v>696</v>
      </c>
      <c r="D46" t="s">
        <v>697</v>
      </c>
    </row>
    <row r="47" spans="1:8" x14ac:dyDescent="0.25">
      <c r="C47" s="3" t="s">
        <v>698</v>
      </c>
      <c r="D47" t="s">
        <v>699</v>
      </c>
    </row>
    <row r="48" spans="1:8" x14ac:dyDescent="0.25">
      <c r="C48" s="3" t="s">
        <v>700</v>
      </c>
      <c r="D48" t="s">
        <v>701</v>
      </c>
    </row>
    <row r="49" spans="1:8" x14ac:dyDescent="0.25">
      <c r="C49" s="3" t="s">
        <v>702</v>
      </c>
      <c r="D49" t="s">
        <v>703</v>
      </c>
    </row>
    <row r="51" spans="1:8" x14ac:dyDescent="0.25">
      <c r="A51" s="7" t="s">
        <v>538</v>
      </c>
    </row>
    <row r="53" spans="1:8" ht="90" customHeight="1" x14ac:dyDescent="0.25">
      <c r="A53" s="217" t="s">
        <v>704</v>
      </c>
      <c r="B53" s="218"/>
      <c r="C53" s="218"/>
      <c r="D53" s="218"/>
      <c r="E53" s="218"/>
      <c r="F53" s="218"/>
      <c r="G53" s="218"/>
      <c r="H53" s="219"/>
    </row>
    <row r="55" spans="1:8" x14ac:dyDescent="0.25">
      <c r="A55" s="3"/>
      <c r="B55" s="3" t="s">
        <v>675</v>
      </c>
      <c r="C55" s="3" t="s">
        <v>705</v>
      </c>
      <c r="D55" t="s">
        <v>706</v>
      </c>
    </row>
    <row r="56" spans="1:8" x14ac:dyDescent="0.25">
      <c r="C56" s="3" t="s">
        <v>707</v>
      </c>
      <c r="D56" t="s">
        <v>708</v>
      </c>
    </row>
    <row r="57" spans="1:8" x14ac:dyDescent="0.25">
      <c r="C57" s="3" t="s">
        <v>709</v>
      </c>
      <c r="D57" t="s">
        <v>710</v>
      </c>
    </row>
    <row r="58" spans="1:8" x14ac:dyDescent="0.25">
      <c r="C58" s="3" t="s">
        <v>711</v>
      </c>
      <c r="D58" t="s">
        <v>712</v>
      </c>
    </row>
    <row r="60" spans="1:8" x14ac:dyDescent="0.25">
      <c r="A60" s="7" t="s">
        <v>581</v>
      </c>
    </row>
    <row r="62" spans="1:8" ht="90" customHeight="1" x14ac:dyDescent="0.25">
      <c r="A62" s="217" t="s">
        <v>713</v>
      </c>
      <c r="B62" s="218"/>
      <c r="C62" s="218"/>
      <c r="D62" s="218"/>
      <c r="E62" s="218"/>
      <c r="F62" s="218"/>
      <c r="G62" s="218"/>
      <c r="H62" s="219"/>
    </row>
    <row r="64" spans="1:8" x14ac:dyDescent="0.25">
      <c r="A64" s="3"/>
      <c r="B64" s="3" t="s">
        <v>675</v>
      </c>
      <c r="C64" s="192" t="s">
        <v>714</v>
      </c>
      <c r="D64" t="s">
        <v>715</v>
      </c>
    </row>
    <row r="65" spans="1:8" x14ac:dyDescent="0.25">
      <c r="C65" s="3" t="s">
        <v>716</v>
      </c>
      <c r="D65" t="s">
        <v>717</v>
      </c>
    </row>
    <row r="66" spans="1:8" x14ac:dyDescent="0.25">
      <c r="C66" s="3" t="s">
        <v>718</v>
      </c>
      <c r="D66" t="s">
        <v>719</v>
      </c>
    </row>
    <row r="67" spans="1:8" x14ac:dyDescent="0.25">
      <c r="C67" s="3" t="s">
        <v>720</v>
      </c>
      <c r="D67" t="s">
        <v>721</v>
      </c>
    </row>
    <row r="69" spans="1:8" x14ac:dyDescent="0.25">
      <c r="A69" s="7" t="s">
        <v>552</v>
      </c>
    </row>
    <row r="71" spans="1:8" ht="90" customHeight="1" x14ac:dyDescent="0.25">
      <c r="A71" s="217" t="s">
        <v>722</v>
      </c>
      <c r="B71" s="218"/>
      <c r="C71" s="218"/>
      <c r="D71" s="218"/>
      <c r="E71" s="218"/>
      <c r="F71" s="218"/>
      <c r="G71" s="218"/>
      <c r="H71" s="219"/>
    </row>
    <row r="73" spans="1:8" x14ac:dyDescent="0.25">
      <c r="A73" s="3"/>
      <c r="B73" s="3" t="s">
        <v>675</v>
      </c>
      <c r="C73" s="3" t="s">
        <v>723</v>
      </c>
      <c r="D73" t="s">
        <v>724</v>
      </c>
    </row>
    <row r="74" spans="1:8" x14ac:dyDescent="0.25">
      <c r="C74" s="3" t="s">
        <v>725</v>
      </c>
      <c r="D74" t="s">
        <v>726</v>
      </c>
    </row>
    <row r="75" spans="1:8" x14ac:dyDescent="0.25">
      <c r="C75" s="3" t="s">
        <v>727</v>
      </c>
      <c r="D75" t="s">
        <v>728</v>
      </c>
    </row>
    <row r="76" spans="1:8" x14ac:dyDescent="0.25">
      <c r="C76" s="3" t="s">
        <v>729</v>
      </c>
      <c r="D76" t="s">
        <v>730</v>
      </c>
    </row>
    <row r="77" spans="1:8" x14ac:dyDescent="0.25">
      <c r="C77" s="3" t="s">
        <v>731</v>
      </c>
      <c r="D77" t="s">
        <v>732</v>
      </c>
    </row>
    <row r="79" spans="1:8" x14ac:dyDescent="0.25">
      <c r="A79" s="7" t="s">
        <v>733</v>
      </c>
    </row>
    <row r="81" spans="1:8" ht="90" customHeight="1" x14ac:dyDescent="0.25">
      <c r="A81" s="217" t="s">
        <v>734</v>
      </c>
      <c r="B81" s="218"/>
      <c r="C81" s="218"/>
      <c r="D81" s="218"/>
      <c r="E81" s="218"/>
      <c r="F81" s="218"/>
      <c r="G81" s="218"/>
      <c r="H81" s="219"/>
    </row>
    <row r="83" spans="1:8" x14ac:dyDescent="0.25">
      <c r="A83" s="3"/>
      <c r="B83" s="3" t="s">
        <v>675</v>
      </c>
      <c r="C83" s="3" t="s">
        <v>735</v>
      </c>
      <c r="D83" t="s">
        <v>736</v>
      </c>
    </row>
    <row r="84" spans="1:8" x14ac:dyDescent="0.25">
      <c r="C84" s="3" t="s">
        <v>737</v>
      </c>
      <c r="D84" t="s">
        <v>738</v>
      </c>
    </row>
    <row r="85" spans="1:8" x14ac:dyDescent="0.25">
      <c r="C85" s="3" t="s">
        <v>739</v>
      </c>
      <c r="D85" t="s">
        <v>740</v>
      </c>
    </row>
    <row r="87" spans="1:8" x14ac:dyDescent="0.25">
      <c r="A87" s="7" t="s">
        <v>560</v>
      </c>
    </row>
    <row r="89" spans="1:8" ht="90" customHeight="1" x14ac:dyDescent="0.25">
      <c r="A89" s="217" t="s">
        <v>741</v>
      </c>
      <c r="B89" s="218"/>
      <c r="C89" s="218"/>
      <c r="D89" s="218"/>
      <c r="E89" s="218"/>
      <c r="F89" s="218"/>
      <c r="G89" s="218"/>
      <c r="H89" s="219"/>
    </row>
    <row r="91" spans="1:8" x14ac:dyDescent="0.25">
      <c r="A91" s="3"/>
      <c r="B91" s="3" t="s">
        <v>675</v>
      </c>
      <c r="C91" s="3" t="s">
        <v>742</v>
      </c>
      <c r="D91" t="s">
        <v>740</v>
      </c>
    </row>
    <row r="92" spans="1:8" x14ac:dyDescent="0.25">
      <c r="C92" s="3" t="s">
        <v>743</v>
      </c>
      <c r="D92" t="s">
        <v>738</v>
      </c>
    </row>
    <row r="93" spans="1:8" x14ac:dyDescent="0.25">
      <c r="C93" s="3" t="s">
        <v>744</v>
      </c>
      <c r="D93" t="s">
        <v>745</v>
      </c>
    </row>
    <row r="94" spans="1:8" x14ac:dyDescent="0.25">
      <c r="C94" s="3" t="s">
        <v>746</v>
      </c>
      <c r="D94" t="s">
        <v>747</v>
      </c>
    </row>
    <row r="96" spans="1:8" x14ac:dyDescent="0.25">
      <c r="A96" s="7" t="s">
        <v>748</v>
      </c>
    </row>
    <row r="98" spans="1:8" ht="90" customHeight="1" x14ac:dyDescent="0.25">
      <c r="A98" s="217" t="s">
        <v>749</v>
      </c>
      <c r="B98" s="218"/>
      <c r="C98" s="218"/>
      <c r="D98" s="218"/>
      <c r="E98" s="218"/>
      <c r="F98" s="218"/>
      <c r="G98" s="218"/>
      <c r="H98" s="219"/>
    </row>
    <row r="100" spans="1:8" x14ac:dyDescent="0.25">
      <c r="A100" s="3"/>
      <c r="B100" s="3" t="s">
        <v>675</v>
      </c>
      <c r="C100" s="3" t="s">
        <v>750</v>
      </c>
      <c r="D100" t="s">
        <v>751</v>
      </c>
    </row>
    <row r="101" spans="1:8" x14ac:dyDescent="0.25">
      <c r="C101" s="3" t="s">
        <v>752</v>
      </c>
      <c r="D101" t="s">
        <v>699</v>
      </c>
    </row>
    <row r="102" spans="1:8" x14ac:dyDescent="0.25">
      <c r="C102" s="3" t="s">
        <v>753</v>
      </c>
      <c r="D102" t="s">
        <v>740</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E28" activePane="bottomRight" state="frozen"/>
      <selection pane="topRight" activeCell="E1" sqref="E1"/>
      <selection pane="bottomLeft" activeCell="A4" sqref="A4"/>
      <selection pane="bottomRight" activeCell="F54" sqref="F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585</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4">
        <v>20</v>
      </c>
      <c r="D8" s="134"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586</v>
      </c>
      <c r="E14" s="4">
        <v>2032602.43</v>
      </c>
      <c r="F14" s="4">
        <v>259669.26</v>
      </c>
      <c r="G14" s="4">
        <v>306794.81</v>
      </c>
      <c r="H14" s="4">
        <v>131830.07</v>
      </c>
      <c r="I14" s="4">
        <v>4873264</v>
      </c>
      <c r="J14" s="4">
        <v>1471739.28</v>
      </c>
      <c r="K14" s="4">
        <v>2812814.04</v>
      </c>
      <c r="L14" s="4">
        <v>3367435.7</v>
      </c>
      <c r="M14" s="4">
        <v>988470.76</v>
      </c>
      <c r="N14" s="4">
        <v>0</v>
      </c>
      <c r="O14" s="153">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4">
        <v>30</v>
      </c>
      <c r="D17" s="134"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587</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0</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0</v>
      </c>
      <c r="BG33" s="4">
        <f t="shared" si="5"/>
        <v>0</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5">
        <v>4</v>
      </c>
      <c r="B36" s="135"/>
      <c r="C36" s="135"/>
      <c r="D36" s="135" t="s">
        <v>588</v>
      </c>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589</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590</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591</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7">
        <v>5</v>
      </c>
      <c r="B57" s="137"/>
      <c r="C57" s="137"/>
      <c r="D57" s="137" t="s">
        <v>302</v>
      </c>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row>
    <row r="58" spans="1:61" x14ac:dyDescent="0.25">
      <c r="C58">
        <v>690</v>
      </c>
      <c r="D58" t="s">
        <v>648</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39">
        <v>6</v>
      </c>
      <c r="B60" s="139"/>
      <c r="C60" s="139"/>
      <c r="D60" s="139" t="s">
        <v>303</v>
      </c>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row>
    <row r="61" spans="1:61" x14ac:dyDescent="0.25">
      <c r="C61">
        <v>590</v>
      </c>
      <c r="D61" t="s">
        <v>647</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E12" activePane="bottomRight" state="frozen"/>
      <selection pane="topRight" activeCell="E1" sqref="E1"/>
      <selection pane="bottomLeft" activeCell="A12" sqref="A12"/>
      <selection pane="bottomRight" activeCell="D30" sqref="D3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3">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210">
        <f>'Base de données indicateurs1'!BF33-'Base de données indicateurs1'!BF33+'Base de données indicateurs1'!BF54-'Base de données indicateurs1'!BF55</f>
        <v>2549034.7099999995</v>
      </c>
      <c r="E30" s="145">
        <f>'Base de données indicateurs1'!E33-'Base de données indicateurs1'!E33+'Base de données indicateurs1'!E54-'Base de données indicateurs1'!E55</f>
        <v>6015.15</v>
      </c>
      <c r="F30" s="145">
        <f>'Base de données indicateurs1'!F33-'Base de données indicateurs1'!F33+'Base de données indicateurs1'!F54-'Base de données indicateurs1'!F55</f>
        <v>149441.67000000001</v>
      </c>
      <c r="G30" s="145">
        <f>'Base de données indicateurs1'!G33-'Base de données indicateurs1'!G33+'Base de données indicateurs1'!G54-'Base de données indicateurs1'!G55</f>
        <v>-35747.06</v>
      </c>
      <c r="H30" s="145">
        <f>'Base de données indicateurs1'!H33-'Base de données indicateurs1'!H33+'Base de données indicateurs1'!H54-'Base de données indicateurs1'!H55</f>
        <v>21653.66</v>
      </c>
      <c r="I30" s="145">
        <f>'Base de données indicateurs1'!I33-'Base de données indicateurs1'!I33+'Base de données indicateurs1'!I54-'Base de données indicateurs1'!I55</f>
        <v>-197032.69</v>
      </c>
      <c r="J30" s="145">
        <f>'Base de données indicateurs1'!J33-'Base de données indicateurs1'!J33+'Base de données indicateurs1'!J54-'Base de données indicateurs1'!J55</f>
        <v>643336.21</v>
      </c>
      <c r="K30" s="145">
        <f>'Base de données indicateurs1'!K33-'Base de données indicateurs1'!K33+'Base de données indicateurs1'!K54-'Base de données indicateurs1'!K55</f>
        <v>33519.97</v>
      </c>
      <c r="L30" s="145">
        <f>'Base de données indicateurs1'!L33-'Base de données indicateurs1'!L33+'Base de données indicateurs1'!L54-'Base de données indicateurs1'!L55</f>
        <v>-574635</v>
      </c>
      <c r="M30" s="145">
        <f>'Base de données indicateurs1'!M33-'Base de données indicateurs1'!M33+'Base de données indicateurs1'!M54-'Base de données indicateurs1'!M55</f>
        <v>-144001.48000000001</v>
      </c>
      <c r="N30" s="145">
        <f>'Base de données indicateurs1'!N33-'Base de données indicateurs1'!N33+'Base de données indicateurs1'!N54-'Base de données indicateurs1'!N55</f>
        <v>0</v>
      </c>
      <c r="O30" s="145">
        <f>'Base de données indicateurs1'!O33-'Base de données indicateurs1'!O33+'Base de données indicateurs1'!O54-'Base de données indicateurs1'!O55</f>
        <v>-1449255.52</v>
      </c>
      <c r="P30" s="145">
        <f>'Base de données indicateurs1'!P33-'Base de données indicateurs1'!P33+'Base de données indicateurs1'!P54-'Base de données indicateurs1'!P55</f>
        <v>-93731.8</v>
      </c>
      <c r="Q30" s="145">
        <f>'Base de données indicateurs1'!Q33-'Base de données indicateurs1'!Q33+'Base de données indicateurs1'!Q54-'Base de données indicateurs1'!Q55</f>
        <v>-28876.52</v>
      </c>
      <c r="R30" s="145">
        <f>'Base de données indicateurs1'!R33-'Base de données indicateurs1'!R33+'Base de données indicateurs1'!R54-'Base de données indicateurs1'!R55</f>
        <v>-16853.580000000002</v>
      </c>
      <c r="S30" s="145">
        <f>'Base de données indicateurs1'!S33-'Base de données indicateurs1'!S33+'Base de données indicateurs1'!S54-'Base de données indicateurs1'!S55</f>
        <v>-13071.37</v>
      </c>
      <c r="T30" s="145">
        <f>'Base de données indicateurs1'!T33-'Base de données indicateurs1'!T33+'Base de données indicateurs1'!T54-'Base de données indicateurs1'!T55</f>
        <v>81234.89</v>
      </c>
      <c r="U30" s="145">
        <f>'Base de données indicateurs1'!U33-'Base de données indicateurs1'!U33+'Base de données indicateurs1'!U54-'Base de données indicateurs1'!U55</f>
        <v>-1983</v>
      </c>
      <c r="V30" s="145">
        <f>'Base de données indicateurs1'!V33-'Base de données indicateurs1'!V33+'Base de données indicateurs1'!V54-'Base de données indicateurs1'!V55</f>
        <v>-152377.16</v>
      </c>
      <c r="W30" s="145">
        <f>'Base de données indicateurs1'!W33-'Base de données indicateurs1'!W33+'Base de données indicateurs1'!W54-'Base de données indicateurs1'!W55</f>
        <v>8997.4500000000007</v>
      </c>
      <c r="X30" s="145">
        <f>'Base de données indicateurs1'!X33-'Base de données indicateurs1'!X33+'Base de données indicateurs1'!X54-'Base de données indicateurs1'!X55</f>
        <v>26286</v>
      </c>
      <c r="Y30" s="145">
        <f>'Base de données indicateurs1'!Y33-'Base de données indicateurs1'!Y33+'Base de données indicateurs1'!Y54-'Base de données indicateurs1'!Y55</f>
        <v>94732.18</v>
      </c>
      <c r="Z30" s="145">
        <f>'Base de données indicateurs1'!Z33-'Base de données indicateurs1'!Z33+'Base de données indicateurs1'!Z54-'Base de données indicateurs1'!Z55</f>
        <v>3333844.9</v>
      </c>
      <c r="AA30" s="145">
        <f>'Base de données indicateurs1'!AA33-'Base de données indicateurs1'!AA33+'Base de données indicateurs1'!AA54-'Base de données indicateurs1'!AA55</f>
        <v>-2729.75</v>
      </c>
      <c r="AB30" s="145">
        <f>'Base de données indicateurs1'!AB33-'Base de données indicateurs1'!AB33+'Base de données indicateurs1'!AB54-'Base de données indicateurs1'!AB55</f>
        <v>-8071.54</v>
      </c>
      <c r="AC30" s="145">
        <f>'Base de données indicateurs1'!AC33-'Base de données indicateurs1'!AC33+'Base de données indicateurs1'!AC54-'Base de données indicateurs1'!AC55</f>
        <v>-115009</v>
      </c>
      <c r="AD30" s="145">
        <f>'Base de données indicateurs1'!AD33-'Base de données indicateurs1'!AD33+'Base de données indicateurs1'!AD54-'Base de données indicateurs1'!AD55</f>
        <v>-169604.71</v>
      </c>
      <c r="AE30" s="145">
        <f>'Base de données indicateurs1'!AE33-'Base de données indicateurs1'!AE33+'Base de données indicateurs1'!AE54-'Base de données indicateurs1'!AE55</f>
        <v>-167058.57</v>
      </c>
      <c r="AF30" s="145">
        <f>'Base de données indicateurs1'!AF33-'Base de données indicateurs1'!AF33+'Base de données indicateurs1'!AF54-'Base de données indicateurs1'!AF55</f>
        <v>27072.7</v>
      </c>
      <c r="AG30" s="145">
        <f>'Base de données indicateurs1'!AG33-'Base de données indicateurs1'!AG33+'Base de données indicateurs1'!AG54-'Base de données indicateurs1'!AG55</f>
        <v>902636.72</v>
      </c>
      <c r="AH30" s="145">
        <f>'Base de données indicateurs1'!AH33-'Base de données indicateurs1'!AH33+'Base de données indicateurs1'!AH54-'Base de données indicateurs1'!AH55</f>
        <v>21605</v>
      </c>
      <c r="AI30" s="145">
        <f>'Base de données indicateurs1'!AI33-'Base de données indicateurs1'!AI33+'Base de données indicateurs1'!AI54-'Base de données indicateurs1'!AI55</f>
        <v>2281</v>
      </c>
      <c r="AJ30" s="145">
        <f>'Base de données indicateurs1'!AJ33-'Base de données indicateurs1'!AJ33+'Base de données indicateurs1'!AJ54-'Base de données indicateurs1'!AJ55</f>
        <v>-28280.9</v>
      </c>
      <c r="AK30" s="145">
        <f>'Base de données indicateurs1'!AK33-'Base de données indicateurs1'!AK33+'Base de données indicateurs1'!AK54-'Base de données indicateurs1'!AK55</f>
        <v>92720</v>
      </c>
      <c r="AL30" s="145">
        <f>'Base de données indicateurs1'!AL33-'Base de données indicateurs1'!AL33+'Base de données indicateurs1'!AL54-'Base de données indicateurs1'!AL55</f>
        <v>-32824</v>
      </c>
      <c r="AM30" s="145">
        <f>'Base de données indicateurs1'!AM33-'Base de données indicateurs1'!AM33+'Base de données indicateurs1'!AM54-'Base de données indicateurs1'!AM55</f>
        <v>-97730</v>
      </c>
      <c r="AN30" s="145">
        <f>'Base de données indicateurs1'!AN33-'Base de données indicateurs1'!AN33+'Base de données indicateurs1'!AN54-'Base de données indicateurs1'!AN55</f>
        <v>14511.05</v>
      </c>
      <c r="AO30" s="145">
        <f>'Base de données indicateurs1'!AO33-'Base de données indicateurs1'!AO33+'Base de données indicateurs1'!AO54-'Base de données indicateurs1'!AO55</f>
        <v>313035.14</v>
      </c>
      <c r="AP30" s="145">
        <f>'Base de données indicateurs1'!AP33-'Base de données indicateurs1'!AP33+'Base de données indicateurs1'!AP54-'Base de données indicateurs1'!AP55</f>
        <v>197653.74</v>
      </c>
      <c r="AQ30" s="145">
        <f>'Base de données indicateurs1'!AQ33-'Base de données indicateurs1'!AQ33+'Base de données indicateurs1'!AQ54-'Base de données indicateurs1'!AQ55</f>
        <v>39059</v>
      </c>
      <c r="AR30" s="145">
        <f>'Base de données indicateurs1'!AR33-'Base de données indicateurs1'!AR33+'Base de données indicateurs1'!AR54-'Base de données indicateurs1'!AR55</f>
        <v>50671.79</v>
      </c>
      <c r="AS30" s="145">
        <f>'Base de données indicateurs1'!AS33-'Base de données indicateurs1'!AS33+'Base de données indicateurs1'!AS54-'Base de données indicateurs1'!AS55</f>
        <v>8666</v>
      </c>
      <c r="AT30" s="145">
        <f>'Base de données indicateurs1'!AT33-'Base de données indicateurs1'!AT33+'Base de données indicateurs1'!AT54-'Base de données indicateurs1'!AT55</f>
        <v>-30052.95</v>
      </c>
      <c r="AU30" s="145">
        <f>'Base de données indicateurs1'!AU33-'Base de données indicateurs1'!AU33+'Base de données indicateurs1'!AU54-'Base de données indicateurs1'!AU55</f>
        <v>81088.7</v>
      </c>
      <c r="AV30" s="145">
        <f>'Base de données indicateurs1'!AV33-'Base de données indicateurs1'!AV33+'Base de données indicateurs1'!AV54-'Base de données indicateurs1'!AV55</f>
        <v>-430556.03</v>
      </c>
      <c r="AW30" s="145">
        <f>'Base de données indicateurs1'!AW33-'Base de données indicateurs1'!AW33+'Base de données indicateurs1'!AW54-'Base de données indicateurs1'!AW55</f>
        <v>-41819.89</v>
      </c>
      <c r="AX30" s="145">
        <f>'Base de données indicateurs1'!AX33-'Base de données indicateurs1'!AX33+'Base de données indicateurs1'!AX54-'Base de données indicateurs1'!AX55</f>
        <v>10076.969999999999</v>
      </c>
      <c r="AY30" s="145">
        <f>'Base de données indicateurs1'!AY33-'Base de données indicateurs1'!AY33+'Base de données indicateurs1'!AY54-'Base de données indicateurs1'!AY55</f>
        <v>26132.85</v>
      </c>
      <c r="AZ30" s="145">
        <f>'Base de données indicateurs1'!AZ33-'Base de données indicateurs1'!AZ33+'Base de données indicateurs1'!AZ54-'Base de données indicateurs1'!AZ55</f>
        <v>79042.83</v>
      </c>
      <c r="BA30" s="145">
        <f>'Base de données indicateurs1'!BA33-'Base de données indicateurs1'!BA33+'Base de données indicateurs1'!BA54-'Base de données indicateurs1'!BA55</f>
        <v>24133.4</v>
      </c>
      <c r="BB30" s="145">
        <f>'Base de données indicateurs1'!BB33-'Base de données indicateurs1'!BB33+'Base de données indicateurs1'!BB54-'Base de données indicateurs1'!BB55</f>
        <v>-104585.94</v>
      </c>
      <c r="BC30" s="145">
        <f>'Base de données indicateurs1'!BC33-'Base de données indicateurs1'!BC33+'Base de données indicateurs1'!BC54-'Base de données indicateurs1'!BC55</f>
        <v>-2276.58</v>
      </c>
      <c r="BD30" s="145">
        <f>'Base de données indicateurs1'!BD33-'Base de données indicateurs1'!BD33+'Base de données indicateurs1'!BD54-'Base de données indicateurs1'!BD55</f>
        <v>189954.45</v>
      </c>
      <c r="BE30" s="145">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4">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3">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BH37"/>
  <sheetViews>
    <sheetView tabSelected="1" zoomScaleNormal="100" workbookViewId="0">
      <selection activeCell="C39" sqref="C39"/>
    </sheetView>
  </sheetViews>
  <sheetFormatPr baseColWidth="10" defaultRowHeight="15" x14ac:dyDescent="0.25"/>
  <cols>
    <col min="1" max="1" width="51.85546875" customWidth="1"/>
    <col min="2" max="2" width="7.42578125" customWidth="1"/>
    <col min="4" max="4" width="22.85546875" customWidth="1"/>
    <col min="5" max="57" width="15.7109375" hidden="1" customWidth="1"/>
    <col min="58" max="60" width="17.7109375" customWidth="1"/>
  </cols>
  <sheetData>
    <row r="2" spans="1:60" ht="18.75" x14ac:dyDescent="0.3">
      <c r="A2" s="190" t="s">
        <v>505</v>
      </c>
      <c r="B2" s="190"/>
      <c r="C2" s="190"/>
      <c r="D2" s="190"/>
    </row>
    <row r="4" spans="1:60" x14ac:dyDescent="0.25">
      <c r="A4" s="7"/>
      <c r="B4" s="110"/>
      <c r="C4" s="65" t="s">
        <v>507</v>
      </c>
      <c r="D4" s="65" t="s">
        <v>459</v>
      </c>
      <c r="E4" s="146">
        <f>'4.1 Comptes 2020 natures'!E2</f>
        <v>923</v>
      </c>
      <c r="F4" s="146">
        <f>'4.1 Comptes 2020 natures'!F2</f>
        <v>270</v>
      </c>
      <c r="G4" s="146">
        <f>'4.1 Comptes 2020 natures'!G2</f>
        <v>485</v>
      </c>
      <c r="H4" s="146">
        <f>'4.1 Comptes 2020 natures'!H2</f>
        <v>446</v>
      </c>
      <c r="I4" s="146">
        <f>'4.1 Comptes 2020 natures'!I2</f>
        <v>3631</v>
      </c>
      <c r="J4" s="146">
        <f>'4.1 Comptes 2020 natures'!J2</f>
        <v>3313</v>
      </c>
      <c r="K4" s="146">
        <f>'4.1 Comptes 2020 natures'!K2</f>
        <v>2644</v>
      </c>
      <c r="L4" s="147">
        <f>'4.1 Comptes 2020 natures'!L2</f>
        <v>12618</v>
      </c>
      <c r="M4" s="147">
        <f>'4.1 Comptes 2020 natures'!M2</f>
        <v>1371</v>
      </c>
      <c r="N4" s="147">
        <f>'4.1 Comptes 2020 natures'!N2</f>
        <v>118</v>
      </c>
      <c r="O4" s="147">
        <f>'4.1 Comptes 2020 natures'!O2</f>
        <v>7167</v>
      </c>
      <c r="P4" s="147">
        <f>'4.1 Comptes 2020 natures'!P2</f>
        <v>528</v>
      </c>
      <c r="Q4" s="147">
        <f>'4.1 Comptes 2020 natures'!Q2</f>
        <v>108</v>
      </c>
      <c r="R4" s="147">
        <f>'4.1 Comptes 2020 natures'!R2</f>
        <v>415</v>
      </c>
      <c r="S4" s="147">
        <f>'4.1 Comptes 2020 natures'!S2</f>
        <v>349</v>
      </c>
      <c r="T4" s="147">
        <f>'4.1 Comptes 2020 natures'!T2</f>
        <v>687</v>
      </c>
      <c r="U4" s="147">
        <f>'4.1 Comptes 2020 natures'!U2</f>
        <v>255</v>
      </c>
      <c r="V4" s="147">
        <f>'4.1 Comptes 2020 natures'!V2</f>
        <v>436</v>
      </c>
      <c r="W4" s="147">
        <f>'4.1 Comptes 2020 natures'!W2</f>
        <v>3190</v>
      </c>
      <c r="X4" s="148">
        <f>'4.1 Comptes 2020 natures'!X2</f>
        <v>324</v>
      </c>
      <c r="Y4" s="148">
        <f>'4.1 Comptes 2020 natures'!Y2</f>
        <v>1246</v>
      </c>
      <c r="Z4" s="148">
        <f>'4.1 Comptes 2020 natures'!Z2</f>
        <v>1528</v>
      </c>
      <c r="AA4" s="148">
        <f>'4.1 Comptes 2020 natures'!AA2</f>
        <v>96</v>
      </c>
      <c r="AB4" s="148">
        <f>'4.1 Comptes 2020 natures'!AB2</f>
        <v>149</v>
      </c>
      <c r="AC4" s="148">
        <f>'4.1 Comptes 2020 natures'!AC2</f>
        <v>516</v>
      </c>
      <c r="AD4" s="148">
        <f>'4.1 Comptes 2020 natures'!AD2</f>
        <v>671</v>
      </c>
      <c r="AE4" s="148">
        <f>'4.1 Comptes 2020 natures'!AE2</f>
        <v>572</v>
      </c>
      <c r="AF4" s="148">
        <f>'4.1 Comptes 2020 natures'!AF2</f>
        <v>490</v>
      </c>
      <c r="AG4" s="148">
        <f>'4.1 Comptes 2020 natures'!AG2</f>
        <v>1914</v>
      </c>
      <c r="AH4" s="148">
        <f>'4.1 Comptes 2020 natures'!AH2</f>
        <v>2615</v>
      </c>
      <c r="AI4" s="148">
        <f>'4.1 Comptes 2020 natures'!AI2</f>
        <v>227</v>
      </c>
      <c r="AJ4" s="148">
        <f>'4.1 Comptes 2020 natures'!AJ2</f>
        <v>131</v>
      </c>
      <c r="AK4" s="149">
        <f>'4.1 Comptes 2020 natures'!AK2</f>
        <v>1895</v>
      </c>
      <c r="AL4" s="149">
        <f>'4.1 Comptes 2020 natures'!AL2</f>
        <v>1135</v>
      </c>
      <c r="AM4" s="149">
        <f>'4.1 Comptes 2020 natures'!AM2</f>
        <v>1241</v>
      </c>
      <c r="AN4" s="149">
        <f>'4.1 Comptes 2020 natures'!AN2</f>
        <v>119</v>
      </c>
      <c r="AO4" s="149">
        <f>'4.1 Comptes 2020 natures'!AO2</f>
        <v>1195</v>
      </c>
      <c r="AP4" s="149">
        <f>'4.1 Comptes 2020 natures'!AP2</f>
        <v>663</v>
      </c>
      <c r="AQ4" s="149">
        <f>'4.1 Comptes 2020 natures'!AQ2</f>
        <v>645</v>
      </c>
      <c r="AR4" s="149">
        <f>'4.1 Comptes 2020 natures'!AR2</f>
        <v>1263</v>
      </c>
      <c r="AS4" s="149">
        <f>'4.1 Comptes 2020 natures'!AS2</f>
        <v>740</v>
      </c>
      <c r="AT4" s="149">
        <f>'4.1 Comptes 2020 natures'!AT2</f>
        <v>1028</v>
      </c>
      <c r="AU4" s="149">
        <f>'4.1 Comptes 2020 natures'!AU2</f>
        <v>314</v>
      </c>
      <c r="AV4" s="149">
        <f>'4.1 Comptes 2020 natures'!AV2</f>
        <v>2400</v>
      </c>
      <c r="AW4" s="149">
        <f>'4.1 Comptes 2020 natures'!AW2</f>
        <v>755</v>
      </c>
      <c r="AX4" s="149">
        <f>'4.1 Comptes 2020 natures'!AX2</f>
        <v>181</v>
      </c>
      <c r="AY4" s="149">
        <f>'4.1 Comptes 2020 natures'!AY2</f>
        <v>347</v>
      </c>
      <c r="AZ4" s="149">
        <f>'4.1 Comptes 2020 natures'!AZ2</f>
        <v>1690</v>
      </c>
      <c r="BA4" s="149">
        <f>'4.1 Comptes 2020 natures'!BA2</f>
        <v>387</v>
      </c>
      <c r="BB4" s="149">
        <f>'4.1 Comptes 2020 natures'!BB2</f>
        <v>1096</v>
      </c>
      <c r="BC4" s="150">
        <f>'4.1 Comptes 2020 natures'!BC2</f>
        <v>188</v>
      </c>
      <c r="BD4" s="150">
        <f>'4.1 Comptes 2020 natures'!BD2</f>
        <v>6434</v>
      </c>
      <c r="BE4" s="149">
        <f>'4.1 Comptes 2020 natures'!BE2</f>
        <v>560</v>
      </c>
      <c r="BF4" s="152">
        <f>'4.1 Comptes 2020 natures'!BG2</f>
        <v>38954</v>
      </c>
      <c r="BG4" s="152">
        <f>'4.1 Comptes 2020 natures'!BH2</f>
        <v>10479</v>
      </c>
      <c r="BH4" s="152">
        <f>'4.1 Comptes 2020 natures'!BI2</f>
        <v>24276</v>
      </c>
    </row>
    <row r="5" spans="1:60" x14ac:dyDescent="0.25">
      <c r="B5" s="110"/>
      <c r="E5" s="43" t="s">
        <v>56</v>
      </c>
      <c r="F5" s="43" t="s">
        <v>18</v>
      </c>
      <c r="G5" s="43" t="s">
        <v>57</v>
      </c>
      <c r="H5" s="43" t="s">
        <v>53</v>
      </c>
      <c r="I5" s="43" t="s">
        <v>33</v>
      </c>
      <c r="J5" s="43" t="s">
        <v>10</v>
      </c>
      <c r="K5" s="43" t="s">
        <v>15</v>
      </c>
      <c r="L5" s="43" t="s">
        <v>28</v>
      </c>
      <c r="M5" s="43" t="s">
        <v>42</v>
      </c>
      <c r="N5" s="43" t="s">
        <v>23</v>
      </c>
      <c r="O5" s="43" t="s">
        <v>22</v>
      </c>
      <c r="P5" s="43" t="s">
        <v>13</v>
      </c>
      <c r="Q5" s="43" t="s">
        <v>17</v>
      </c>
      <c r="R5" s="43" t="s">
        <v>43</v>
      </c>
      <c r="S5" s="43" t="s">
        <v>40</v>
      </c>
      <c r="T5" s="43" t="s">
        <v>31</v>
      </c>
      <c r="U5" s="43" t="s">
        <v>12</v>
      </c>
      <c r="V5" s="43" t="s">
        <v>59</v>
      </c>
      <c r="W5" s="43" t="s">
        <v>27</v>
      </c>
      <c r="X5" s="44" t="s">
        <v>30</v>
      </c>
      <c r="Y5" s="44" t="s">
        <v>20</v>
      </c>
      <c r="Z5" s="44" t="s">
        <v>45</v>
      </c>
      <c r="AA5" s="44" t="s">
        <v>71</v>
      </c>
      <c r="AB5" s="44" t="s">
        <v>39</v>
      </c>
      <c r="AC5" s="44" t="s">
        <v>19</v>
      </c>
      <c r="AD5" s="44" t="s">
        <v>41</v>
      </c>
      <c r="AE5" s="44" t="s">
        <v>36</v>
      </c>
      <c r="AF5" s="44" t="s">
        <v>7</v>
      </c>
      <c r="AG5" s="44" t="s">
        <v>55</v>
      </c>
      <c r="AH5" s="44" t="s">
        <v>21</v>
      </c>
      <c r="AI5" s="44" t="s">
        <v>6</v>
      </c>
      <c r="AJ5" s="44" t="s">
        <v>34</v>
      </c>
      <c r="AK5" s="45" t="s">
        <v>52</v>
      </c>
      <c r="AL5" s="45" t="s">
        <v>14</v>
      </c>
      <c r="AM5" s="45" t="s">
        <v>32</v>
      </c>
      <c r="AN5" s="45" t="s">
        <v>29</v>
      </c>
      <c r="AO5" s="45" t="s">
        <v>26</v>
      </c>
      <c r="AP5" s="45" t="s">
        <v>48</v>
      </c>
      <c r="AQ5" s="45" t="s">
        <v>44</v>
      </c>
      <c r="AR5" s="45" t="s">
        <v>37</v>
      </c>
      <c r="AS5" s="45" t="s">
        <v>51</v>
      </c>
      <c r="AT5" s="45" t="s">
        <v>8</v>
      </c>
      <c r="AU5" s="45" t="s">
        <v>24</v>
      </c>
      <c r="AV5" s="45" t="s">
        <v>9</v>
      </c>
      <c r="AW5" s="45" t="s">
        <v>62</v>
      </c>
      <c r="AX5" s="45" t="s">
        <v>46</v>
      </c>
      <c r="AY5" s="45" t="s">
        <v>35</v>
      </c>
      <c r="AZ5" s="45" t="s">
        <v>49</v>
      </c>
      <c r="BA5" s="45" t="s">
        <v>47</v>
      </c>
      <c r="BB5" s="45" t="s">
        <v>58</v>
      </c>
      <c r="BC5" s="45" t="s">
        <v>50</v>
      </c>
      <c r="BD5" s="45" t="s">
        <v>16</v>
      </c>
      <c r="BE5" s="45" t="s">
        <v>25</v>
      </c>
      <c r="BF5" s="48" t="s">
        <v>28</v>
      </c>
      <c r="BG5" s="50" t="s">
        <v>64</v>
      </c>
      <c r="BH5" s="46" t="s">
        <v>16</v>
      </c>
    </row>
    <row r="6" spans="1:60" hidden="1" x14ac:dyDescent="0.25">
      <c r="A6" s="111" t="s">
        <v>289</v>
      </c>
      <c r="B6" s="112" t="s">
        <v>231</v>
      </c>
      <c r="C6" s="111">
        <v>340</v>
      </c>
      <c r="D6" s="113">
        <f>'Base de données indicateurs1'!BF22</f>
        <v>5808716.3200000003</v>
      </c>
      <c r="E6" s="4">
        <f>'Base de données indicateurs1'!E22</f>
        <v>25957.09</v>
      </c>
      <c r="F6" s="4">
        <f>'Base de données indicateurs1'!F22</f>
        <v>34741.199999999997</v>
      </c>
      <c r="G6" s="4">
        <f>'Base de données indicateurs1'!G22</f>
        <v>63086.15</v>
      </c>
      <c r="H6" s="4">
        <f>'Base de données indicateurs1'!H22</f>
        <v>62822.720000000001</v>
      </c>
      <c r="I6" s="4">
        <f>'Base de données indicateurs1'!I22</f>
        <v>313671</v>
      </c>
      <c r="J6" s="4">
        <f>'Base de données indicateurs1'!J22</f>
        <v>230949.12</v>
      </c>
      <c r="K6" s="4">
        <f>'Base de données indicateurs1'!K22</f>
        <v>94301.96</v>
      </c>
      <c r="L6" s="4">
        <f>'Base de données indicateurs1'!L22</f>
        <v>1098788.75</v>
      </c>
      <c r="M6" s="4">
        <f>'Base de données indicateurs1'!M22</f>
        <v>52189.760000000002</v>
      </c>
      <c r="N6" s="4">
        <f>'Base de données indicateurs1'!N22</f>
        <v>0</v>
      </c>
      <c r="O6" s="4">
        <f>'Base de données indicateurs1'!O22</f>
        <v>281598.65000000002</v>
      </c>
      <c r="P6" s="4">
        <f>'Base de données indicateurs1'!P22</f>
        <v>39215.760000000002</v>
      </c>
      <c r="Q6" s="4">
        <f>'Base de données indicateurs1'!Q22</f>
        <v>9095.5300000000007</v>
      </c>
      <c r="R6" s="4">
        <f>'Base de données indicateurs1'!R22</f>
        <v>36877.370000000003</v>
      </c>
      <c r="S6" s="4">
        <f>'Base de données indicateurs1'!S22</f>
        <v>56844.93</v>
      </c>
      <c r="T6" s="4">
        <f>'Base de données indicateurs1'!T22</f>
        <v>52274.2</v>
      </c>
      <c r="U6" s="4">
        <f>'Base de données indicateurs1'!U22</f>
        <v>5116.74</v>
      </c>
      <c r="V6" s="4">
        <f>'Base de données indicateurs1'!V22</f>
        <v>54207.25</v>
      </c>
      <c r="W6" s="4">
        <f>'Base de données indicateurs1'!W22</f>
        <v>194511.55</v>
      </c>
      <c r="X6" s="4">
        <f>'Base de données indicateurs1'!X22</f>
        <v>1027</v>
      </c>
      <c r="Y6" s="4">
        <f>'Base de données indicateurs1'!Y22</f>
        <v>161777.70000000001</v>
      </c>
      <c r="Z6" s="4">
        <f>'Base de données indicateurs1'!Z22</f>
        <v>12098.93</v>
      </c>
      <c r="AA6" s="4">
        <f>'Base de données indicateurs1'!AA22</f>
        <v>4856</v>
      </c>
      <c r="AB6" s="4">
        <f>'Base de données indicateurs1'!AB22</f>
        <v>3291.6</v>
      </c>
      <c r="AC6" s="4">
        <f>'Base de données indicateurs1'!AC22</f>
        <v>30053.56</v>
      </c>
      <c r="AD6" s="4">
        <f>'Base de données indicateurs1'!AD22</f>
        <v>97145.66</v>
      </c>
      <c r="AE6" s="4">
        <f>'Base de données indicateurs1'!AE22</f>
        <v>38160.71</v>
      </c>
      <c r="AF6" s="4">
        <f>'Base de données indicateurs1'!AF22</f>
        <v>2733</v>
      </c>
      <c r="AG6" s="4">
        <f>'Base de données indicateurs1'!AG22</f>
        <v>88080.1</v>
      </c>
      <c r="AH6" s="4">
        <f>'Base de données indicateurs1'!AH22</f>
        <v>187345</v>
      </c>
      <c r="AI6" s="4">
        <f>'Base de données indicateurs1'!AI22</f>
        <v>14551.37</v>
      </c>
      <c r="AJ6" s="4">
        <f>'Base de données indicateurs1'!AJ22</f>
        <v>4665.28</v>
      </c>
      <c r="AK6" s="4">
        <f>'Base de données indicateurs1'!AK22</f>
        <v>143147.37</v>
      </c>
      <c r="AL6" s="4">
        <f>'Base de données indicateurs1'!AL22</f>
        <v>114622</v>
      </c>
      <c r="AM6" s="4">
        <f>'Base de données indicateurs1'!AM22</f>
        <v>109327.4</v>
      </c>
      <c r="AN6" s="4">
        <f>'Base de données indicateurs1'!AN22</f>
        <v>0</v>
      </c>
      <c r="AO6" s="4">
        <f>'Base de données indicateurs1'!AO22</f>
        <v>71278.63</v>
      </c>
      <c r="AP6" s="4">
        <f>'Base de données indicateurs1'!AP22</f>
        <v>53670.15</v>
      </c>
      <c r="AQ6" s="4">
        <f>'Base de données indicateurs1'!AQ22</f>
        <v>47702</v>
      </c>
      <c r="AR6" s="4">
        <f>'Base de données indicateurs1'!AR22</f>
        <v>89632.52</v>
      </c>
      <c r="AS6" s="4">
        <f>'Base de données indicateurs1'!AS22</f>
        <v>75220.63</v>
      </c>
      <c r="AT6" s="4">
        <f>'Base de données indicateurs1'!AT22</f>
        <v>121767.45</v>
      </c>
      <c r="AU6" s="4">
        <f>'Base de données indicateurs1'!AU22</f>
        <v>23204.25</v>
      </c>
      <c r="AV6" s="4">
        <f>'Base de données indicateurs1'!AV22</f>
        <v>200299.78</v>
      </c>
      <c r="AW6" s="4">
        <f>'Base de données indicateurs1'!AW22</f>
        <v>47265.91</v>
      </c>
      <c r="AX6" s="4">
        <f>'Base de données indicateurs1'!AX22</f>
        <v>7348.8</v>
      </c>
      <c r="AY6" s="4">
        <f>'Base de données indicateurs1'!AY22</f>
        <v>16514.060000000001</v>
      </c>
      <c r="AZ6" s="4">
        <f>'Base de données indicateurs1'!AZ22</f>
        <v>317070.18</v>
      </c>
      <c r="BA6" s="4">
        <f>'Base de données indicateurs1'!BA22</f>
        <v>10122.76</v>
      </c>
      <c r="BB6" s="4">
        <f>'Base de données indicateurs1'!BB22</f>
        <v>91910.14</v>
      </c>
      <c r="BC6" s="4">
        <f>'Base de données indicateurs1'!BC22</f>
        <v>0</v>
      </c>
      <c r="BD6" s="4">
        <f>'Base de données indicateurs1'!BD22</f>
        <v>868835</v>
      </c>
      <c r="BE6" s="4">
        <f>'Base de données indicateurs1'!BE22</f>
        <v>47741.65</v>
      </c>
      <c r="BF6" s="4">
        <f>SUM(E6:W6)</f>
        <v>2706249.73</v>
      </c>
      <c r="BG6" s="4">
        <f>SUM(X6:AJ6)</f>
        <v>645785.91</v>
      </c>
      <c r="BH6" s="4">
        <f>SUM(AK6:BE6)</f>
        <v>2456680.6799999997</v>
      </c>
    </row>
    <row r="7" spans="1:60" hidden="1" x14ac:dyDescent="0.25">
      <c r="A7" s="114" t="s">
        <v>288</v>
      </c>
      <c r="B7" s="115" t="s">
        <v>232</v>
      </c>
      <c r="C7" s="114">
        <v>440</v>
      </c>
      <c r="D7" s="116">
        <f>'Base de données indicateurs1'!BF41</f>
        <v>2762183.310000001</v>
      </c>
      <c r="E7" s="4">
        <f>'Base de données indicateurs1'!E41</f>
        <v>23418.3</v>
      </c>
      <c r="F7" s="4">
        <f>'Base de données indicateurs1'!F41</f>
        <v>14462.33</v>
      </c>
      <c r="G7" s="4">
        <f>'Base de données indicateurs1'!G41</f>
        <v>8419.7000000000007</v>
      </c>
      <c r="H7" s="4">
        <f>'Base de données indicateurs1'!H41</f>
        <v>8186.86</v>
      </c>
      <c r="I7" s="4">
        <f>'Base de données indicateurs1'!I41</f>
        <v>153171</v>
      </c>
      <c r="J7" s="4">
        <f>'Base de données indicateurs1'!J41</f>
        <v>129767.64</v>
      </c>
      <c r="K7" s="4">
        <f>'Base de données indicateurs1'!K41</f>
        <v>41256.25</v>
      </c>
      <c r="L7" s="4">
        <f>'Base de données indicateurs1'!L41</f>
        <v>889346.59</v>
      </c>
      <c r="M7" s="4">
        <f>'Base de données indicateurs1'!M41</f>
        <v>40171.1</v>
      </c>
      <c r="N7" s="4">
        <f>'Base de données indicateurs1'!N41</f>
        <v>0</v>
      </c>
      <c r="O7" s="4">
        <f>'Base de données indicateurs1'!O41</f>
        <v>135941.74</v>
      </c>
      <c r="P7" s="4">
        <f>'Base de données indicateurs1'!P41</f>
        <v>9076.1</v>
      </c>
      <c r="Q7" s="4">
        <f>'Base de données indicateurs1'!Q41</f>
        <v>4220.45</v>
      </c>
      <c r="R7" s="4">
        <f>'Base de données indicateurs1'!R41</f>
        <v>158.27000000000001</v>
      </c>
      <c r="S7" s="4">
        <f>'Base de données indicateurs1'!S41</f>
        <v>6042.65</v>
      </c>
      <c r="T7" s="4">
        <f>'Base de données indicateurs1'!T41</f>
        <v>18851.05</v>
      </c>
      <c r="U7" s="4">
        <f>'Base de données indicateurs1'!U41</f>
        <v>6215.75</v>
      </c>
      <c r="V7" s="4">
        <f>'Base de données indicateurs1'!V41</f>
        <v>10386.93</v>
      </c>
      <c r="W7" s="4">
        <f>'Base de données indicateurs1'!W41</f>
        <v>79792.3</v>
      </c>
      <c r="X7" s="4">
        <f>'Base de données indicateurs1'!X41</f>
        <v>3271</v>
      </c>
      <c r="Y7" s="4">
        <f>'Base de données indicateurs1'!Y41</f>
        <v>41377.25</v>
      </c>
      <c r="Z7" s="4">
        <f>'Base de données indicateurs1'!Z41</f>
        <v>36248.74</v>
      </c>
      <c r="AA7" s="4">
        <f>'Base de données indicateurs1'!AA41</f>
        <v>562</v>
      </c>
      <c r="AB7" s="4">
        <f>'Base de données indicateurs1'!AB41</f>
        <v>2678</v>
      </c>
      <c r="AC7" s="4">
        <f>'Base de données indicateurs1'!AC41</f>
        <v>8518.5499999999993</v>
      </c>
      <c r="AD7" s="4">
        <f>'Base de données indicateurs1'!AD41</f>
        <v>115681.05</v>
      </c>
      <c r="AE7" s="4">
        <f>'Base de données indicateurs1'!AE41</f>
        <v>10361.08</v>
      </c>
      <c r="AF7" s="4">
        <f>'Base de données indicateurs1'!AF41</f>
        <v>296.7</v>
      </c>
      <c r="AG7" s="4">
        <f>'Base de données indicateurs1'!AG41</f>
        <v>29889.65</v>
      </c>
      <c r="AH7" s="4">
        <f>'Base de données indicateurs1'!AH41</f>
        <v>41227.97</v>
      </c>
      <c r="AI7" s="4">
        <f>'Base de données indicateurs1'!AI41</f>
        <v>12342.43</v>
      </c>
      <c r="AJ7" s="4">
        <f>'Base de données indicateurs1'!AJ41</f>
        <v>4175.1000000000004</v>
      </c>
      <c r="AK7" s="4">
        <f>'Base de données indicateurs1'!AK41</f>
        <v>105842.76</v>
      </c>
      <c r="AL7" s="4">
        <f>'Base de données indicateurs1'!AL41</f>
        <v>26934</v>
      </c>
      <c r="AM7" s="4">
        <f>'Base de données indicateurs1'!AM41</f>
        <v>42752.800000000003</v>
      </c>
      <c r="AN7" s="4">
        <f>'Base de données indicateurs1'!AN41</f>
        <v>6870.04</v>
      </c>
      <c r="AO7" s="4">
        <f>'Base de données indicateurs1'!AO41</f>
        <v>28354.12</v>
      </c>
      <c r="AP7" s="4">
        <f>'Base de données indicateurs1'!AP41</f>
        <v>25847.45</v>
      </c>
      <c r="AQ7" s="4">
        <f>'Base de données indicateurs1'!AQ41</f>
        <v>16980.400000000001</v>
      </c>
      <c r="AR7" s="4">
        <f>'Base de données indicateurs1'!AR41</f>
        <v>31166.18</v>
      </c>
      <c r="AS7" s="4">
        <f>'Base de données indicateurs1'!AS41</f>
        <v>43080.91</v>
      </c>
      <c r="AT7" s="4">
        <f>'Base de données indicateurs1'!AT41</f>
        <v>66001.039999999994</v>
      </c>
      <c r="AU7" s="4">
        <f>'Base de données indicateurs1'!AU41</f>
        <v>4916.3500000000004</v>
      </c>
      <c r="AV7" s="4">
        <f>'Base de données indicateurs1'!AV41</f>
        <v>51808.72</v>
      </c>
      <c r="AW7" s="4">
        <f>'Base de données indicateurs1'!AW41</f>
        <v>15471.29</v>
      </c>
      <c r="AX7" s="4">
        <f>'Base de données indicateurs1'!AX41</f>
        <v>3549.64</v>
      </c>
      <c r="AY7" s="4">
        <f>'Base de données indicateurs1'!AY41</f>
        <v>8404.1</v>
      </c>
      <c r="AZ7" s="4">
        <f>'Base de données indicateurs1'!AZ41</f>
        <v>52198.84</v>
      </c>
      <c r="BA7" s="4">
        <f>'Base de données indicateurs1'!BA41</f>
        <v>12193.98</v>
      </c>
      <c r="BB7" s="4">
        <f>'Base de données indicateurs1'!BB41</f>
        <v>38820</v>
      </c>
      <c r="BC7" s="4">
        <f>'Base de données indicateurs1'!BC41</f>
        <v>3699.85</v>
      </c>
      <c r="BD7" s="4">
        <f>'Base de données indicateurs1'!BD41</f>
        <v>268547.32</v>
      </c>
      <c r="BE7" s="4">
        <f>'Base de données indicateurs1'!BE41</f>
        <v>23228.99</v>
      </c>
      <c r="BF7" s="4">
        <f t="shared" ref="BF7:BF32" si="0">SUM(E7:W7)</f>
        <v>1578885.01</v>
      </c>
      <c r="BG7" s="4">
        <f t="shared" ref="BG7:BG32" si="1">SUM(X7:AJ7)</f>
        <v>306629.51999999996</v>
      </c>
      <c r="BH7" s="4">
        <f t="shared" ref="BH7:BH32" si="2">SUM(AK7:BE7)</f>
        <v>876668.78</v>
      </c>
    </row>
    <row r="8" spans="1:60" ht="15.75" hidden="1" thickBot="1" x14ac:dyDescent="0.3">
      <c r="A8" s="117"/>
      <c r="B8" s="118"/>
      <c r="C8" s="117"/>
      <c r="D8" s="119"/>
      <c r="BF8" s="4"/>
      <c r="BG8" s="4"/>
      <c r="BH8" s="4"/>
    </row>
    <row r="9" spans="1:60" ht="15.75" hidden="1" thickBot="1" x14ac:dyDescent="0.3">
      <c r="A9" s="7" t="s">
        <v>529</v>
      </c>
      <c r="B9" s="64"/>
      <c r="C9" s="7"/>
      <c r="D9" s="120">
        <f>D6-D7</f>
        <v>3046533.0099999993</v>
      </c>
      <c r="E9" s="4">
        <f>E6-E7</f>
        <v>2538.7900000000009</v>
      </c>
      <c r="F9" s="4">
        <f t="shared" ref="F9:BE9" si="3">F6-F7</f>
        <v>20278.869999999995</v>
      </c>
      <c r="G9" s="4">
        <f t="shared" si="3"/>
        <v>54666.45</v>
      </c>
      <c r="H9" s="4">
        <f t="shared" si="3"/>
        <v>54635.86</v>
      </c>
      <c r="I9" s="4">
        <f t="shared" si="3"/>
        <v>160500</v>
      </c>
      <c r="J9" s="4">
        <f t="shared" si="3"/>
        <v>101181.48</v>
      </c>
      <c r="K9" s="4">
        <f t="shared" si="3"/>
        <v>53045.710000000006</v>
      </c>
      <c r="L9" s="4">
        <f t="shared" si="3"/>
        <v>209442.16000000003</v>
      </c>
      <c r="M9" s="4">
        <f t="shared" si="3"/>
        <v>12018.660000000003</v>
      </c>
      <c r="N9" s="4">
        <f t="shared" si="3"/>
        <v>0</v>
      </c>
      <c r="O9" s="4">
        <f t="shared" si="3"/>
        <v>145656.91000000003</v>
      </c>
      <c r="P9" s="4">
        <f t="shared" si="3"/>
        <v>30139.660000000003</v>
      </c>
      <c r="Q9" s="4">
        <f t="shared" si="3"/>
        <v>4875.0800000000008</v>
      </c>
      <c r="R9" s="4">
        <f t="shared" si="3"/>
        <v>36719.100000000006</v>
      </c>
      <c r="S9" s="4">
        <f t="shared" si="3"/>
        <v>50802.28</v>
      </c>
      <c r="T9" s="4">
        <f t="shared" si="3"/>
        <v>33423.149999999994</v>
      </c>
      <c r="U9" s="4">
        <f t="shared" si="3"/>
        <v>-1099.0100000000002</v>
      </c>
      <c r="V9" s="4">
        <f t="shared" si="3"/>
        <v>43820.32</v>
      </c>
      <c r="W9" s="4">
        <f t="shared" si="3"/>
        <v>114719.24999999999</v>
      </c>
      <c r="X9" s="4">
        <f t="shared" si="3"/>
        <v>-2244</v>
      </c>
      <c r="Y9" s="4">
        <f t="shared" si="3"/>
        <v>120400.45000000001</v>
      </c>
      <c r="Z9" s="4">
        <f t="shared" si="3"/>
        <v>-24149.809999999998</v>
      </c>
      <c r="AA9" s="4">
        <f t="shared" si="3"/>
        <v>4294</v>
      </c>
      <c r="AB9" s="4">
        <f t="shared" si="3"/>
        <v>613.59999999999991</v>
      </c>
      <c r="AC9" s="4">
        <f t="shared" si="3"/>
        <v>21535.010000000002</v>
      </c>
      <c r="AD9" s="4">
        <f t="shared" si="3"/>
        <v>-18535.39</v>
      </c>
      <c r="AE9" s="4">
        <f t="shared" si="3"/>
        <v>27799.629999999997</v>
      </c>
      <c r="AF9" s="4">
        <f t="shared" si="3"/>
        <v>2436.3000000000002</v>
      </c>
      <c r="AG9" s="4">
        <f t="shared" si="3"/>
        <v>58190.450000000004</v>
      </c>
      <c r="AH9" s="4">
        <f t="shared" si="3"/>
        <v>146117.03</v>
      </c>
      <c r="AI9" s="4">
        <f t="shared" si="3"/>
        <v>2208.9400000000005</v>
      </c>
      <c r="AJ9" s="4">
        <f t="shared" si="3"/>
        <v>490.17999999999938</v>
      </c>
      <c r="AK9" s="4">
        <f t="shared" si="3"/>
        <v>37304.61</v>
      </c>
      <c r="AL9" s="4">
        <f t="shared" si="3"/>
        <v>87688</v>
      </c>
      <c r="AM9" s="4">
        <f t="shared" si="3"/>
        <v>66574.599999999991</v>
      </c>
      <c r="AN9" s="4">
        <f t="shared" si="3"/>
        <v>-6870.04</v>
      </c>
      <c r="AO9" s="4">
        <f t="shared" si="3"/>
        <v>42924.510000000009</v>
      </c>
      <c r="AP9" s="4">
        <f t="shared" si="3"/>
        <v>27822.7</v>
      </c>
      <c r="AQ9" s="4">
        <f t="shared" si="3"/>
        <v>30721.599999999999</v>
      </c>
      <c r="AR9" s="4">
        <f t="shared" si="3"/>
        <v>58466.340000000004</v>
      </c>
      <c r="AS9" s="4">
        <f t="shared" si="3"/>
        <v>32139.72</v>
      </c>
      <c r="AT9" s="4">
        <f t="shared" si="3"/>
        <v>55766.41</v>
      </c>
      <c r="AU9" s="4">
        <f t="shared" si="3"/>
        <v>18287.900000000001</v>
      </c>
      <c r="AV9" s="4">
        <f t="shared" si="3"/>
        <v>148491.06</v>
      </c>
      <c r="AW9" s="4">
        <f t="shared" si="3"/>
        <v>31794.620000000003</v>
      </c>
      <c r="AX9" s="4">
        <f t="shared" si="3"/>
        <v>3799.1600000000003</v>
      </c>
      <c r="AY9" s="4">
        <f t="shared" si="3"/>
        <v>8109.9600000000009</v>
      </c>
      <c r="AZ9" s="4">
        <f t="shared" si="3"/>
        <v>264871.33999999997</v>
      </c>
      <c r="BA9" s="4">
        <f t="shared" si="3"/>
        <v>-2071.2199999999993</v>
      </c>
      <c r="BB9" s="4">
        <f t="shared" si="3"/>
        <v>53090.14</v>
      </c>
      <c r="BC9" s="4">
        <f t="shared" si="3"/>
        <v>-3699.85</v>
      </c>
      <c r="BD9" s="4">
        <f t="shared" si="3"/>
        <v>600287.67999999993</v>
      </c>
      <c r="BE9" s="4">
        <f t="shared" si="3"/>
        <v>24512.66</v>
      </c>
      <c r="BF9" s="4">
        <f t="shared" si="0"/>
        <v>1127364.72</v>
      </c>
      <c r="BG9" s="4">
        <f t="shared" si="1"/>
        <v>339156.39</v>
      </c>
      <c r="BH9" s="4">
        <f t="shared" si="2"/>
        <v>1580011.9000000001</v>
      </c>
    </row>
    <row r="10" spans="1:60" hidden="1" x14ac:dyDescent="0.25">
      <c r="B10" s="121"/>
      <c r="D10" s="4"/>
      <c r="BF10" s="4"/>
      <c r="BG10" s="4"/>
      <c r="BH10" s="4"/>
    </row>
    <row r="11" spans="1:60" hidden="1" x14ac:dyDescent="0.25">
      <c r="A11" s="111" t="s">
        <v>79</v>
      </c>
      <c r="B11" s="112" t="s">
        <v>231</v>
      </c>
      <c r="C11" s="111">
        <v>40</v>
      </c>
      <c r="D11" s="113">
        <f>'Base de données indicateurs1'!BF37</f>
        <v>218455372.60999998</v>
      </c>
      <c r="E11" s="4">
        <f>'Base de données indicateurs1'!E37</f>
        <v>3316356.05</v>
      </c>
      <c r="F11" s="4">
        <f>'Base de données indicateurs1'!F37</f>
        <v>739829.35</v>
      </c>
      <c r="G11" s="4">
        <f>'Base de données indicateurs1'!G37</f>
        <v>1154064.7</v>
      </c>
      <c r="H11" s="4">
        <f>'Base de données indicateurs1'!H37</f>
        <v>1062792.55</v>
      </c>
      <c r="I11" s="4">
        <f>'Base de données indicateurs1'!I37</f>
        <v>8115298</v>
      </c>
      <c r="J11" s="4">
        <f>'Base de données indicateurs1'!J37</f>
        <v>9445275.5500000007</v>
      </c>
      <c r="K11" s="4">
        <f>'Base de données indicateurs1'!K37</f>
        <v>7112250.3600000003</v>
      </c>
      <c r="L11" s="4">
        <f>'Base de données indicateurs1'!L37</f>
        <v>39079842.799999997</v>
      </c>
      <c r="M11" s="4">
        <f>'Base de données indicateurs1'!M37</f>
        <v>3480267.04</v>
      </c>
      <c r="N11" s="4">
        <f>'Base de données indicateurs1'!N37</f>
        <v>0</v>
      </c>
      <c r="O11" s="4">
        <f>'Base de données indicateurs1'!O37</f>
        <v>16475938</v>
      </c>
      <c r="P11" s="4">
        <f>'Base de données indicateurs1'!P37</f>
        <v>1259404.95</v>
      </c>
      <c r="Q11" s="4">
        <f>'Base de données indicateurs1'!Q37</f>
        <v>207655.7</v>
      </c>
      <c r="R11" s="4">
        <f>'Base de données indicateurs1'!R37</f>
        <v>1011482.65</v>
      </c>
      <c r="S11" s="4">
        <f>'Base de données indicateurs1'!S37</f>
        <v>722909.15</v>
      </c>
      <c r="T11" s="4">
        <f>'Base de données indicateurs1'!T37</f>
        <v>2005442.1</v>
      </c>
      <c r="U11" s="4">
        <f>'Base de données indicateurs1'!U37</f>
        <v>596548.80000000005</v>
      </c>
      <c r="V11" s="4">
        <f>'Base de données indicateurs1'!V37</f>
        <v>1358899.35</v>
      </c>
      <c r="W11" s="4">
        <f>'Base de données indicateurs1'!W37</f>
        <v>7646026.9000000004</v>
      </c>
      <c r="X11" s="4">
        <f>'Base de données indicateurs1'!X37</f>
        <v>848811</v>
      </c>
      <c r="Y11" s="4">
        <f>'Base de données indicateurs1'!Y37</f>
        <v>3758598.17</v>
      </c>
      <c r="Z11" s="4">
        <f>'Base de données indicateurs1'!Z37</f>
        <v>9945240.5</v>
      </c>
      <c r="AA11" s="4">
        <f>'Base de données indicateurs1'!AA37</f>
        <v>235146</v>
      </c>
      <c r="AB11" s="4">
        <f>'Base de données indicateurs1'!AB37</f>
        <v>289463.2</v>
      </c>
      <c r="AC11" s="4">
        <f>'Base de données indicateurs1'!AC37</f>
        <v>1246815.8500000001</v>
      </c>
      <c r="AD11" s="4">
        <f>'Base de données indicateurs1'!AD37</f>
        <v>1439744.55</v>
      </c>
      <c r="AE11" s="4">
        <f>'Base de données indicateurs1'!AE37</f>
        <v>1317292.6000000001</v>
      </c>
      <c r="AF11" s="4">
        <f>'Base de données indicateurs1'!AF37</f>
        <v>1892861.9</v>
      </c>
      <c r="AG11" s="4">
        <f>'Base de données indicateurs1'!AG37</f>
        <v>6916532.8499999996</v>
      </c>
      <c r="AH11" s="4">
        <f>'Base de données indicateurs1'!AH37</f>
        <v>7704002</v>
      </c>
      <c r="AI11" s="4">
        <f>'Base de données indicateurs1'!AI37</f>
        <v>522916.35</v>
      </c>
      <c r="AJ11" s="4">
        <f>'Base de données indicateurs1'!AJ37</f>
        <v>299937.8</v>
      </c>
      <c r="AK11" s="4">
        <f>'Base de données indicateurs1'!AK37</f>
        <v>5443392.9000000004</v>
      </c>
      <c r="AL11" s="4">
        <f>'Base de données indicateurs1'!AL37</f>
        <v>2482113.44</v>
      </c>
      <c r="AM11" s="4">
        <f>'Base de données indicateurs1'!AM37</f>
        <v>2964717.4</v>
      </c>
      <c r="AN11" s="4">
        <f>'Base de données indicateurs1'!AN37</f>
        <v>334540.34999999998</v>
      </c>
      <c r="AO11" s="4">
        <f>'Base de données indicateurs1'!AO37</f>
        <v>6870594.75</v>
      </c>
      <c r="AP11" s="4">
        <f>'Base de données indicateurs1'!AP37</f>
        <v>2024840.18</v>
      </c>
      <c r="AQ11" s="4">
        <f>'Base de données indicateurs1'!AQ37</f>
        <v>1951760</v>
      </c>
      <c r="AR11" s="4">
        <f>'Base de données indicateurs1'!AR37</f>
        <v>3379801.6</v>
      </c>
      <c r="AS11" s="4">
        <f>'Base de données indicateurs1'!AS37</f>
        <v>1748640.05</v>
      </c>
      <c r="AT11" s="4">
        <f>'Base de données indicateurs1'!AT37</f>
        <v>2441707.9500000002</v>
      </c>
      <c r="AU11" s="4">
        <f>'Base de données indicateurs1'!AU37</f>
        <v>2265017.35</v>
      </c>
      <c r="AV11" s="4">
        <f>'Base de données indicateurs1'!AV37</f>
        <v>6073809.8300000001</v>
      </c>
      <c r="AW11" s="4">
        <f>'Base de données indicateurs1'!AW37</f>
        <v>2202056.9</v>
      </c>
      <c r="AX11" s="4">
        <f>'Base de données indicateurs1'!AX37</f>
        <v>406157.7</v>
      </c>
      <c r="AY11" s="4">
        <f>'Base de données indicateurs1'!AY37</f>
        <v>902646.45</v>
      </c>
      <c r="AZ11" s="4">
        <f>'Base de données indicateurs1'!AZ37</f>
        <v>5009992.2</v>
      </c>
      <c r="BA11" s="4">
        <f>'Base de données indicateurs1'!BA37</f>
        <v>984706.9</v>
      </c>
      <c r="BB11" s="4">
        <f>'Base de données indicateurs1'!BB37</f>
        <v>3659638.59</v>
      </c>
      <c r="BC11" s="4">
        <f>'Base de données indicateurs1'!BC37</f>
        <v>341684.35</v>
      </c>
      <c r="BD11" s="4">
        <f>'Base de données indicateurs1'!BD37</f>
        <v>24686130.600000001</v>
      </c>
      <c r="BE11" s="4">
        <f>'Base de données indicateurs1'!BE37</f>
        <v>1073776.3500000001</v>
      </c>
      <c r="BF11" s="4">
        <f t="shared" si="0"/>
        <v>104790284.00000001</v>
      </c>
      <c r="BG11" s="4">
        <f t="shared" si="1"/>
        <v>36417362.769999996</v>
      </c>
      <c r="BH11" s="4">
        <f t="shared" si="2"/>
        <v>77247725.840000004</v>
      </c>
    </row>
    <row r="12" spans="1:60" hidden="1" x14ac:dyDescent="0.25">
      <c r="A12" s="114" t="s">
        <v>119</v>
      </c>
      <c r="B12" s="115" t="s">
        <v>232</v>
      </c>
      <c r="C12" s="114">
        <v>47</v>
      </c>
      <c r="D12" s="116">
        <f>'Base de données indicateurs1'!BF50</f>
        <v>1454430.2000000002</v>
      </c>
      <c r="E12" s="4">
        <f>'Base de données indicateurs1'!E50</f>
        <v>0</v>
      </c>
      <c r="F12" s="4">
        <f>'Base de données indicateurs1'!F50</f>
        <v>0</v>
      </c>
      <c r="G12" s="4">
        <f>'Base de données indicateurs1'!G50</f>
        <v>0</v>
      </c>
      <c r="H12" s="4">
        <f>'Base de données indicateurs1'!H50</f>
        <v>0</v>
      </c>
      <c r="I12" s="4">
        <f>'Base de données indicateurs1'!I50</f>
        <v>0</v>
      </c>
      <c r="J12" s="4">
        <f>'Base de données indicateurs1'!J50</f>
        <v>0</v>
      </c>
      <c r="K12" s="4">
        <f>'Base de données indicateurs1'!K50</f>
        <v>0</v>
      </c>
      <c r="L12" s="4">
        <f>'Base de données indicateurs1'!L50</f>
        <v>0</v>
      </c>
      <c r="M12" s="4">
        <f>'Base de données indicateurs1'!M50</f>
        <v>1665</v>
      </c>
      <c r="N12" s="4">
        <f>'Base de données indicateurs1'!N50</f>
        <v>0</v>
      </c>
      <c r="O12" s="4">
        <f>'Base de données indicateurs1'!O50</f>
        <v>0</v>
      </c>
      <c r="P12" s="4">
        <f>'Base de données indicateurs1'!P50</f>
        <v>0</v>
      </c>
      <c r="Q12" s="4">
        <f>'Base de données indicateurs1'!Q50</f>
        <v>0</v>
      </c>
      <c r="R12" s="4">
        <f>'Base de données indicateurs1'!R50</f>
        <v>0</v>
      </c>
      <c r="S12" s="4">
        <f>'Base de données indicateurs1'!S50</f>
        <v>0</v>
      </c>
      <c r="T12" s="4">
        <f>'Base de données indicateurs1'!T50</f>
        <v>0</v>
      </c>
      <c r="U12" s="4">
        <f>'Base de données indicateurs1'!U50</f>
        <v>0</v>
      </c>
      <c r="V12" s="4">
        <f>'Base de données indicateurs1'!V50</f>
        <v>0</v>
      </c>
      <c r="W12" s="4">
        <f>'Base de données indicateurs1'!W50</f>
        <v>0</v>
      </c>
      <c r="X12" s="4">
        <f>'Base de données indicateurs1'!X50</f>
        <v>0</v>
      </c>
      <c r="Y12" s="4">
        <f>'Base de données indicateurs1'!Y50</f>
        <v>0</v>
      </c>
      <c r="Z12" s="4">
        <f>'Base de données indicateurs1'!Z50</f>
        <v>428675.8</v>
      </c>
      <c r="AA12" s="4">
        <f>'Base de données indicateurs1'!AA50</f>
        <v>159491</v>
      </c>
      <c r="AB12" s="4">
        <f>'Base de données indicateurs1'!AB50</f>
        <v>0</v>
      </c>
      <c r="AC12" s="4">
        <f>'Base de données indicateurs1'!AC50</f>
        <v>155601.79999999999</v>
      </c>
      <c r="AD12" s="4">
        <f>'Base de données indicateurs1'!AD50</f>
        <v>0</v>
      </c>
      <c r="AE12" s="4">
        <f>'Base de données indicateurs1'!AE50</f>
        <v>0</v>
      </c>
      <c r="AF12" s="4">
        <f>'Base de données indicateurs1'!AF50</f>
        <v>570898.30000000005</v>
      </c>
      <c r="AG12" s="4">
        <f>'Base de données indicateurs1'!AG50</f>
        <v>0</v>
      </c>
      <c r="AH12" s="4">
        <f>'Base de données indicateurs1'!AH50</f>
        <v>0</v>
      </c>
      <c r="AI12" s="4">
        <f>'Base de données indicateurs1'!AI50</f>
        <v>1500</v>
      </c>
      <c r="AJ12" s="4">
        <f>'Base de données indicateurs1'!AJ50</f>
        <v>0</v>
      </c>
      <c r="AK12" s="4">
        <f>'Base de données indicateurs1'!AK50</f>
        <v>0</v>
      </c>
      <c r="AL12" s="4">
        <f>'Base de données indicateurs1'!AL50</f>
        <v>0</v>
      </c>
      <c r="AM12" s="4">
        <f>'Base de données indicateurs1'!AM50</f>
        <v>0</v>
      </c>
      <c r="AN12" s="4">
        <f>'Base de données indicateurs1'!AN50</f>
        <v>0</v>
      </c>
      <c r="AO12" s="4">
        <f>'Base de données indicateurs1'!AO50</f>
        <v>0</v>
      </c>
      <c r="AP12" s="4">
        <f>'Base de données indicateurs1'!AP50</f>
        <v>0</v>
      </c>
      <c r="AQ12" s="4">
        <f>'Base de données indicateurs1'!AQ50</f>
        <v>0</v>
      </c>
      <c r="AR12" s="4">
        <f>'Base de données indicateurs1'!AR50</f>
        <v>57050</v>
      </c>
      <c r="AS12" s="4">
        <f>'Base de données indicateurs1'!AS50</f>
        <v>0</v>
      </c>
      <c r="AT12" s="4">
        <f>'Base de données indicateurs1'!AT50</f>
        <v>0</v>
      </c>
      <c r="AU12" s="4">
        <f>'Base de données indicateurs1'!AU50</f>
        <v>0</v>
      </c>
      <c r="AV12" s="4">
        <f>'Base de données indicateurs1'!AV50</f>
        <v>79548.3</v>
      </c>
      <c r="AW12" s="4">
        <f>'Base de données indicateurs1'!AW50</f>
        <v>0</v>
      </c>
      <c r="AX12" s="4">
        <f>'Base de données indicateurs1'!AX50</f>
        <v>0</v>
      </c>
      <c r="AY12" s="4">
        <f>'Base de données indicateurs1'!AY50</f>
        <v>0</v>
      </c>
      <c r="AZ12" s="4">
        <f>'Base de données indicateurs1'!AZ50</f>
        <v>0</v>
      </c>
      <c r="BA12" s="4">
        <f>'Base de données indicateurs1'!BA50</f>
        <v>0</v>
      </c>
      <c r="BB12" s="4">
        <f>'Base de données indicateurs1'!BB50</f>
        <v>0</v>
      </c>
      <c r="BC12" s="4">
        <f>'Base de données indicateurs1'!BC50</f>
        <v>0</v>
      </c>
      <c r="BD12" s="4">
        <f>'Base de données indicateurs1'!BD50</f>
        <v>0</v>
      </c>
      <c r="BE12" s="4">
        <f>'Base de données indicateurs1'!BE50</f>
        <v>0</v>
      </c>
      <c r="BF12" s="4">
        <f t="shared" si="0"/>
        <v>1665</v>
      </c>
      <c r="BG12" s="4">
        <f t="shared" si="1"/>
        <v>1316166.9000000001</v>
      </c>
      <c r="BH12" s="4">
        <f t="shared" si="2"/>
        <v>136598.29999999999</v>
      </c>
    </row>
    <row r="13" spans="1:60" hidden="1" x14ac:dyDescent="0.25">
      <c r="A13" s="114" t="s">
        <v>128</v>
      </c>
      <c r="B13" s="115" t="s">
        <v>232</v>
      </c>
      <c r="C13" s="114">
        <v>49</v>
      </c>
      <c r="D13" s="116">
        <f>'Base de données indicateurs1'!BF53</f>
        <v>3674070.9800000004</v>
      </c>
      <c r="E13" s="4">
        <f>'Base de données indicateurs1'!E53</f>
        <v>0</v>
      </c>
      <c r="F13" s="4">
        <f>'Base de données indicateurs1'!F53</f>
        <v>31349.99</v>
      </c>
      <c r="G13" s="4">
        <f>'Base de données indicateurs1'!G53</f>
        <v>2814.4</v>
      </c>
      <c r="H13" s="4">
        <f>'Base de données indicateurs1'!H53</f>
        <v>31545.85</v>
      </c>
      <c r="I13" s="4">
        <f>'Base de données indicateurs1'!I53</f>
        <v>309300</v>
      </c>
      <c r="J13" s="4">
        <f>'Base de données indicateurs1'!J53</f>
        <v>59158</v>
      </c>
      <c r="K13" s="4">
        <f>'Base de données indicateurs1'!K53</f>
        <v>37587.75</v>
      </c>
      <c r="L13" s="4">
        <f>'Base de données indicateurs1'!L53</f>
        <v>1802641</v>
      </c>
      <c r="M13" s="4">
        <f>'Base de données indicateurs1'!M53</f>
        <v>99719.41</v>
      </c>
      <c r="N13" s="4">
        <f>'Base de données indicateurs1'!N53</f>
        <v>0</v>
      </c>
      <c r="O13" s="4">
        <f>'Base de données indicateurs1'!O53</f>
        <v>64560</v>
      </c>
      <c r="P13" s="4">
        <f>'Base de données indicateurs1'!P53</f>
        <v>35547.949999999997</v>
      </c>
      <c r="Q13" s="4">
        <f>'Base de données indicateurs1'!Q53</f>
        <v>0</v>
      </c>
      <c r="R13" s="4">
        <f>'Base de données indicateurs1'!R53</f>
        <v>22300</v>
      </c>
      <c r="S13" s="4">
        <f>'Base de données indicateurs1'!S53</f>
        <v>0</v>
      </c>
      <c r="T13" s="4">
        <f>'Base de données indicateurs1'!T53</f>
        <v>6500</v>
      </c>
      <c r="U13" s="4">
        <f>'Base de données indicateurs1'!U53</f>
        <v>0</v>
      </c>
      <c r="V13" s="4">
        <f>'Base de données indicateurs1'!V53</f>
        <v>60358.1</v>
      </c>
      <c r="W13" s="4">
        <f>'Base de données indicateurs1'!W53</f>
        <v>286000.15000000002</v>
      </c>
      <c r="X13" s="4">
        <f>'Base de données indicateurs1'!X53</f>
        <v>0</v>
      </c>
      <c r="Y13" s="4">
        <f>'Base de données indicateurs1'!Y53</f>
        <v>0</v>
      </c>
      <c r="Z13" s="4">
        <f>'Base de données indicateurs1'!Z53</f>
        <v>0</v>
      </c>
      <c r="AA13" s="4">
        <f>'Base de données indicateurs1'!AA53</f>
        <v>24713</v>
      </c>
      <c r="AB13" s="4">
        <f>'Base de données indicateurs1'!AB53</f>
        <v>3256</v>
      </c>
      <c r="AC13" s="4">
        <f>'Base de données indicateurs1'!AC53</f>
        <v>26841.7</v>
      </c>
      <c r="AD13" s="4">
        <f>'Base de données indicateurs1'!AD53</f>
        <v>120062.5</v>
      </c>
      <c r="AE13" s="4">
        <f>'Base de données indicateurs1'!AE53</f>
        <v>87127.35</v>
      </c>
      <c r="AF13" s="4">
        <f>'Base de données indicateurs1'!AF53</f>
        <v>69667.45</v>
      </c>
      <c r="AG13" s="4">
        <f>'Base de données indicateurs1'!AG53</f>
        <v>1500</v>
      </c>
      <c r="AH13" s="4">
        <f>'Base de données indicateurs1'!AH53</f>
        <v>28100</v>
      </c>
      <c r="AI13" s="4">
        <f>'Base de données indicateurs1'!AI53</f>
        <v>0</v>
      </c>
      <c r="AJ13" s="4">
        <f>'Base de données indicateurs1'!AJ53</f>
        <v>1051.1500000000001</v>
      </c>
      <c r="AK13" s="4">
        <f>'Base de données indicateurs1'!AK53</f>
        <v>16350</v>
      </c>
      <c r="AL13" s="4">
        <f>'Base de données indicateurs1'!AL53</f>
        <v>0</v>
      </c>
      <c r="AM13" s="4">
        <f>'Base de données indicateurs1'!AM53</f>
        <v>3700</v>
      </c>
      <c r="AN13" s="4">
        <f>'Base de données indicateurs1'!AN53</f>
        <v>0</v>
      </c>
      <c r="AO13" s="4">
        <f>'Base de données indicateurs1'!AO53</f>
        <v>41758.800000000003</v>
      </c>
      <c r="AP13" s="4">
        <f>'Base de données indicateurs1'!AP53</f>
        <v>93043.1</v>
      </c>
      <c r="AQ13" s="4">
        <f>'Base de données indicateurs1'!AQ53</f>
        <v>0</v>
      </c>
      <c r="AR13" s="4">
        <f>'Base de données indicateurs1'!AR53</f>
        <v>0</v>
      </c>
      <c r="AS13" s="4">
        <f>'Base de données indicateurs1'!AS53</f>
        <v>59398.05</v>
      </c>
      <c r="AT13" s="4">
        <f>'Base de données indicateurs1'!AT53</f>
        <v>0</v>
      </c>
      <c r="AU13" s="4">
        <f>'Base de données indicateurs1'!AU53</f>
        <v>10800</v>
      </c>
      <c r="AV13" s="4">
        <f>'Base de données indicateurs1'!AV53</f>
        <v>15863</v>
      </c>
      <c r="AW13" s="4">
        <f>'Base de données indicateurs1'!AW53</f>
        <v>0</v>
      </c>
      <c r="AX13" s="4">
        <f>'Base de données indicateurs1'!AX53</f>
        <v>7348.8</v>
      </c>
      <c r="AY13" s="4">
        <f>'Base de données indicateurs1'!AY53</f>
        <v>0</v>
      </c>
      <c r="AZ13" s="4">
        <f>'Base de données indicateurs1'!AZ53</f>
        <v>152452.6</v>
      </c>
      <c r="BA13" s="4">
        <f>'Base de données indicateurs1'!BA53</f>
        <v>0</v>
      </c>
      <c r="BB13" s="4">
        <f>'Base de données indicateurs1'!BB53</f>
        <v>46154.879999999997</v>
      </c>
      <c r="BC13" s="4">
        <f>'Base de données indicateurs1'!BC53</f>
        <v>0</v>
      </c>
      <c r="BD13" s="4">
        <f>'Base de données indicateurs1'!BD53</f>
        <v>0</v>
      </c>
      <c r="BE13" s="4">
        <f>'Base de données indicateurs1'!BE53</f>
        <v>15500</v>
      </c>
      <c r="BF13" s="4">
        <f t="shared" si="0"/>
        <v>2849382.6000000006</v>
      </c>
      <c r="BG13" s="4">
        <f t="shared" si="1"/>
        <v>362319.15</v>
      </c>
      <c r="BH13" s="4">
        <f t="shared" si="2"/>
        <v>462369.23</v>
      </c>
    </row>
    <row r="14" spans="1:60" hidden="1" x14ac:dyDescent="0.25">
      <c r="A14" s="114" t="s">
        <v>239</v>
      </c>
      <c r="B14" s="115" t="s">
        <v>232</v>
      </c>
      <c r="C14" s="122">
        <v>489</v>
      </c>
      <c r="D14" s="116">
        <f>'Base de données indicateurs1'!BF51</f>
        <v>2275423.12</v>
      </c>
      <c r="E14" s="4">
        <f>'Base de données indicateurs1'!E51</f>
        <v>0</v>
      </c>
      <c r="F14" s="4">
        <f>'Base de données indicateurs1'!F51</f>
        <v>0</v>
      </c>
      <c r="G14" s="4">
        <f>'Base de données indicateurs1'!G51</f>
        <v>0</v>
      </c>
      <c r="H14" s="4">
        <f>'Base de données indicateurs1'!H51</f>
        <v>0</v>
      </c>
      <c r="I14" s="4">
        <f>'Base de données indicateurs1'!I51</f>
        <v>300000</v>
      </c>
      <c r="J14" s="4">
        <f>'Base de données indicateurs1'!J51</f>
        <v>0</v>
      </c>
      <c r="K14" s="4">
        <f>'Base de données indicateurs1'!K51</f>
        <v>0</v>
      </c>
      <c r="L14" s="4">
        <f>'Base de données indicateurs1'!L51</f>
        <v>1100000</v>
      </c>
      <c r="M14" s="4">
        <f>'Base de données indicateurs1'!M51</f>
        <v>0</v>
      </c>
      <c r="N14" s="4">
        <f>'Base de données indicateurs1'!N51</f>
        <v>0</v>
      </c>
      <c r="O14" s="4">
        <f>'Base de données indicateurs1'!O51</f>
        <v>2478.3000000000002</v>
      </c>
      <c r="P14" s="4">
        <f>'Base de données indicateurs1'!P51</f>
        <v>0</v>
      </c>
      <c r="Q14" s="4">
        <f>'Base de données indicateurs1'!Q51</f>
        <v>20000</v>
      </c>
      <c r="R14" s="4">
        <f>'Base de données indicateurs1'!R51</f>
        <v>0</v>
      </c>
      <c r="S14" s="4">
        <f>'Base de données indicateurs1'!S51</f>
        <v>0</v>
      </c>
      <c r="T14" s="4">
        <f>'Base de données indicateurs1'!T51</f>
        <v>0</v>
      </c>
      <c r="U14" s="4">
        <f>'Base de données indicateurs1'!U51</f>
        <v>0</v>
      </c>
      <c r="V14" s="4">
        <f>'Base de données indicateurs1'!V51</f>
        <v>0</v>
      </c>
      <c r="W14" s="4">
        <f>'Base de données indicateurs1'!W51</f>
        <v>0</v>
      </c>
      <c r="X14" s="4">
        <f>'Base de données indicateurs1'!X51</f>
        <v>0</v>
      </c>
      <c r="Y14" s="4">
        <f>'Base de données indicateurs1'!Y51</f>
        <v>0</v>
      </c>
      <c r="Z14" s="4">
        <f>'Base de données indicateurs1'!Z51</f>
        <v>0</v>
      </c>
      <c r="AA14" s="4">
        <f>'Base de données indicateurs1'!AA51</f>
        <v>0</v>
      </c>
      <c r="AB14" s="4">
        <f>'Base de données indicateurs1'!AB51</f>
        <v>0</v>
      </c>
      <c r="AC14" s="4">
        <f>'Base de données indicateurs1'!AC51</f>
        <v>206471.32</v>
      </c>
      <c r="AD14" s="4">
        <f>'Base de données indicateurs1'!AD51</f>
        <v>151113.5</v>
      </c>
      <c r="AE14" s="4">
        <f>'Base de données indicateurs1'!AE51</f>
        <v>0</v>
      </c>
      <c r="AF14" s="4">
        <f>'Base de données indicateurs1'!AF51</f>
        <v>0</v>
      </c>
      <c r="AG14" s="4">
        <f>'Base de données indicateurs1'!AG51</f>
        <v>0</v>
      </c>
      <c r="AH14" s="4">
        <f>'Base de données indicateurs1'!AH51</f>
        <v>0</v>
      </c>
      <c r="AI14" s="4">
        <f>'Base de données indicateurs1'!AI51</f>
        <v>0</v>
      </c>
      <c r="AJ14" s="4">
        <f>'Base de données indicateurs1'!AJ51</f>
        <v>0</v>
      </c>
      <c r="AK14" s="4">
        <f>'Base de données indicateurs1'!AK51</f>
        <v>0</v>
      </c>
      <c r="AL14" s="4">
        <f>'Base de données indicateurs1'!AL51</f>
        <v>0</v>
      </c>
      <c r="AM14" s="4">
        <f>'Base de données indicateurs1'!AM51</f>
        <v>0</v>
      </c>
      <c r="AN14" s="4">
        <f>'Base de données indicateurs1'!AN51</f>
        <v>0</v>
      </c>
      <c r="AO14" s="4">
        <f>'Base de données indicateurs1'!AO51</f>
        <v>0</v>
      </c>
      <c r="AP14" s="4">
        <f>'Base de données indicateurs1'!AP51</f>
        <v>0</v>
      </c>
      <c r="AQ14" s="4">
        <f>'Base de données indicateurs1'!AQ51</f>
        <v>0</v>
      </c>
      <c r="AR14" s="4">
        <f>'Base de données indicateurs1'!AR51</f>
        <v>0</v>
      </c>
      <c r="AS14" s="4">
        <f>'Base de données indicateurs1'!AS51</f>
        <v>0</v>
      </c>
      <c r="AT14" s="4">
        <f>'Base de données indicateurs1'!AT51</f>
        <v>50000</v>
      </c>
      <c r="AU14" s="4">
        <f>'Base de données indicateurs1'!AU51</f>
        <v>0</v>
      </c>
      <c r="AV14" s="4">
        <f>'Base de données indicateurs1'!AV51</f>
        <v>425359</v>
      </c>
      <c r="AW14" s="4">
        <f>'Base de données indicateurs1'!AW51</f>
        <v>0</v>
      </c>
      <c r="AX14" s="4">
        <f>'Base de données indicateurs1'!AX51</f>
        <v>20000</v>
      </c>
      <c r="AY14" s="4">
        <f>'Base de données indicateurs1'!AY51</f>
        <v>0</v>
      </c>
      <c r="AZ14" s="4">
        <f>'Base de données indicateurs1'!AZ51</f>
        <v>0</v>
      </c>
      <c r="BA14" s="4">
        <f>'Base de données indicateurs1'!BA51</f>
        <v>0</v>
      </c>
      <c r="BB14" s="4">
        <f>'Base de données indicateurs1'!BB51</f>
        <v>0</v>
      </c>
      <c r="BC14" s="4">
        <f>'Base de données indicateurs1'!BC51</f>
        <v>1</v>
      </c>
      <c r="BD14" s="4">
        <f>'Base de données indicateurs1'!BD51</f>
        <v>0</v>
      </c>
      <c r="BE14" s="4">
        <f>'Base de données indicateurs1'!BE51</f>
        <v>0</v>
      </c>
      <c r="BF14" s="4">
        <f t="shared" si="0"/>
        <v>1422478.3</v>
      </c>
      <c r="BG14" s="4">
        <f t="shared" si="1"/>
        <v>357584.82</v>
      </c>
      <c r="BH14" s="4">
        <f t="shared" si="2"/>
        <v>495360</v>
      </c>
    </row>
    <row r="15" spans="1:60" hidden="1" x14ac:dyDescent="0.25">
      <c r="A15" s="114" t="s">
        <v>530</v>
      </c>
      <c r="B15" s="115" t="s">
        <v>231</v>
      </c>
      <c r="C15" s="114">
        <v>4896</v>
      </c>
      <c r="D15" s="116">
        <f>'Base de données indicateurs1'!BF52</f>
        <v>0</v>
      </c>
      <c r="E15" s="4">
        <f>'Base de données indicateurs1'!E52</f>
        <v>0</v>
      </c>
      <c r="F15" s="4">
        <f>'Base de données indicateurs1'!F52</f>
        <v>0</v>
      </c>
      <c r="G15" s="4">
        <f>'Base de données indicateurs1'!G52</f>
        <v>0</v>
      </c>
      <c r="H15" s="4">
        <f>'Base de données indicateurs1'!H52</f>
        <v>0</v>
      </c>
      <c r="I15" s="4">
        <f>'Base de données indicateurs1'!I52</f>
        <v>0</v>
      </c>
      <c r="J15" s="4">
        <f>'Base de données indicateurs1'!J52</f>
        <v>0</v>
      </c>
      <c r="K15" s="4">
        <f>'Base de données indicateurs1'!K52</f>
        <v>0</v>
      </c>
      <c r="L15" s="4">
        <f>'Base de données indicateurs1'!L52</f>
        <v>0</v>
      </c>
      <c r="M15" s="4">
        <f>'Base de données indicateurs1'!M52</f>
        <v>0</v>
      </c>
      <c r="N15" s="4">
        <f>'Base de données indicateurs1'!N52</f>
        <v>0</v>
      </c>
      <c r="O15" s="4">
        <f>'Base de données indicateurs1'!O52</f>
        <v>0</v>
      </c>
      <c r="P15" s="4">
        <f>'Base de données indicateurs1'!P52</f>
        <v>0</v>
      </c>
      <c r="Q15" s="4">
        <f>'Base de données indicateurs1'!Q52</f>
        <v>0</v>
      </c>
      <c r="R15" s="4">
        <f>'Base de données indicateurs1'!R52</f>
        <v>0</v>
      </c>
      <c r="S15" s="4">
        <f>'Base de données indicateurs1'!S52</f>
        <v>0</v>
      </c>
      <c r="T15" s="4">
        <f>'Base de données indicateurs1'!T52</f>
        <v>0</v>
      </c>
      <c r="U15" s="4">
        <f>'Base de données indicateurs1'!U52</f>
        <v>0</v>
      </c>
      <c r="V15" s="4">
        <f>'Base de données indicateurs1'!V52</f>
        <v>0</v>
      </c>
      <c r="W15" s="4">
        <f>'Base de données indicateurs1'!W52</f>
        <v>0</v>
      </c>
      <c r="X15" s="4">
        <f>'Base de données indicateurs1'!X52</f>
        <v>0</v>
      </c>
      <c r="Y15" s="4">
        <f>'Base de données indicateurs1'!Y52</f>
        <v>0</v>
      </c>
      <c r="Z15" s="4">
        <f>'Base de données indicateurs1'!Z52</f>
        <v>0</v>
      </c>
      <c r="AA15" s="4">
        <f>'Base de données indicateurs1'!AA52</f>
        <v>0</v>
      </c>
      <c r="AB15" s="4">
        <f>'Base de données indicateurs1'!AB52</f>
        <v>0</v>
      </c>
      <c r="AC15" s="4">
        <f>'Base de données indicateurs1'!AC52</f>
        <v>0</v>
      </c>
      <c r="AD15" s="4">
        <f>'Base de données indicateurs1'!AD52</f>
        <v>0</v>
      </c>
      <c r="AE15" s="4">
        <f>'Base de données indicateurs1'!AE52</f>
        <v>0</v>
      </c>
      <c r="AF15" s="4">
        <f>'Base de données indicateurs1'!AF52</f>
        <v>0</v>
      </c>
      <c r="AG15" s="4">
        <f>'Base de données indicateurs1'!AG52</f>
        <v>0</v>
      </c>
      <c r="AH15" s="4">
        <f>'Base de données indicateurs1'!AH52</f>
        <v>0</v>
      </c>
      <c r="AI15" s="4">
        <f>'Base de données indicateurs1'!AI52</f>
        <v>0</v>
      </c>
      <c r="AJ15" s="4">
        <f>'Base de données indicateurs1'!AJ52</f>
        <v>0</v>
      </c>
      <c r="AK15" s="4">
        <f>'Base de données indicateurs1'!AK52</f>
        <v>0</v>
      </c>
      <c r="AL15" s="4">
        <f>'Base de données indicateurs1'!AL52</f>
        <v>0</v>
      </c>
      <c r="AM15" s="4">
        <f>'Base de données indicateurs1'!AM52</f>
        <v>0</v>
      </c>
      <c r="AN15" s="4">
        <f>'Base de données indicateurs1'!AN52</f>
        <v>0</v>
      </c>
      <c r="AO15" s="4">
        <f>'Base de données indicateurs1'!AO52</f>
        <v>0</v>
      </c>
      <c r="AP15" s="4">
        <f>'Base de données indicateurs1'!AP52</f>
        <v>0</v>
      </c>
      <c r="AQ15" s="4">
        <f>'Base de données indicateurs1'!AQ52</f>
        <v>0</v>
      </c>
      <c r="AR15" s="4">
        <f>'Base de données indicateurs1'!AR52</f>
        <v>0</v>
      </c>
      <c r="AS15" s="4">
        <f>'Base de données indicateurs1'!AS52</f>
        <v>0</v>
      </c>
      <c r="AT15" s="4">
        <f>'Base de données indicateurs1'!AT52</f>
        <v>0</v>
      </c>
      <c r="AU15" s="4">
        <f>'Base de données indicateurs1'!AU52</f>
        <v>0</v>
      </c>
      <c r="AV15" s="4">
        <f>'Base de données indicateurs1'!AV52</f>
        <v>0</v>
      </c>
      <c r="AW15" s="4">
        <f>'Base de données indicateurs1'!AW52</f>
        <v>0</v>
      </c>
      <c r="AX15" s="4">
        <f>'Base de données indicateurs1'!AX52</f>
        <v>0</v>
      </c>
      <c r="AY15" s="4">
        <f>'Base de données indicateurs1'!AY52</f>
        <v>0</v>
      </c>
      <c r="AZ15" s="4">
        <f>'Base de données indicateurs1'!AZ52</f>
        <v>0</v>
      </c>
      <c r="BA15" s="4">
        <f>'Base de données indicateurs1'!BA52</f>
        <v>0</v>
      </c>
      <c r="BB15" s="4">
        <f>'Base de données indicateurs1'!BB52</f>
        <v>0</v>
      </c>
      <c r="BC15" s="4">
        <f>'Base de données indicateurs1'!BC52</f>
        <v>0</v>
      </c>
      <c r="BD15" s="4">
        <f>'Base de données indicateurs1'!BD52</f>
        <v>0</v>
      </c>
      <c r="BE15" s="4">
        <f>'Base de données indicateurs1'!BE52</f>
        <v>0</v>
      </c>
      <c r="BF15" s="4">
        <f t="shared" si="0"/>
        <v>0</v>
      </c>
      <c r="BG15" s="4">
        <f t="shared" si="1"/>
        <v>0</v>
      </c>
      <c r="BH15" s="4">
        <f t="shared" si="2"/>
        <v>0</v>
      </c>
    </row>
    <row r="16" spans="1:60" ht="15.75" hidden="1" thickBot="1" x14ac:dyDescent="0.3">
      <c r="A16" s="117"/>
      <c r="B16" s="118"/>
      <c r="C16" s="117"/>
      <c r="D16" s="119"/>
      <c r="BF16" s="4"/>
      <c r="BG16" s="4"/>
      <c r="BH16" s="4"/>
    </row>
    <row r="17" spans="1:60" ht="15.75" hidden="1" thickBot="1" x14ac:dyDescent="0.3">
      <c r="A17" s="7" t="s">
        <v>531</v>
      </c>
      <c r="B17" s="64"/>
      <c r="C17" s="7"/>
      <c r="D17" s="120">
        <f>SUM(D11,D15)-SUM(D12:D14)</f>
        <v>211051448.30999997</v>
      </c>
      <c r="E17" s="144">
        <f>SUM(E11,E15)-SUM(E12:E14)</f>
        <v>3316356.05</v>
      </c>
      <c r="F17" s="129">
        <f t="shared" ref="F17:BE17" si="4">SUM(F11,F15)-SUM(F12:F14)</f>
        <v>708479.36</v>
      </c>
      <c r="G17" s="129">
        <f t="shared" si="4"/>
        <v>1151250.3</v>
      </c>
      <c r="H17" s="129">
        <f t="shared" si="4"/>
        <v>1031246.7000000001</v>
      </c>
      <c r="I17" s="129">
        <f t="shared" si="4"/>
        <v>7505998</v>
      </c>
      <c r="J17" s="129">
        <f t="shared" si="4"/>
        <v>9386117.5500000007</v>
      </c>
      <c r="K17" s="129">
        <f t="shared" si="4"/>
        <v>7074662.6100000003</v>
      </c>
      <c r="L17" s="129">
        <f t="shared" si="4"/>
        <v>36177201.799999997</v>
      </c>
      <c r="M17" s="129">
        <f t="shared" si="4"/>
        <v>3378882.63</v>
      </c>
      <c r="N17" s="129">
        <f t="shared" si="4"/>
        <v>0</v>
      </c>
      <c r="O17" s="129">
        <f t="shared" si="4"/>
        <v>16408899.699999999</v>
      </c>
      <c r="P17" s="129">
        <f t="shared" si="4"/>
        <v>1223857</v>
      </c>
      <c r="Q17" s="129">
        <f t="shared" si="4"/>
        <v>187655.7</v>
      </c>
      <c r="R17" s="129">
        <f t="shared" si="4"/>
        <v>989182.65</v>
      </c>
      <c r="S17" s="129">
        <f t="shared" si="4"/>
        <v>722909.15</v>
      </c>
      <c r="T17" s="129">
        <f t="shared" si="4"/>
        <v>1998942.1</v>
      </c>
      <c r="U17" s="129">
        <f t="shared" si="4"/>
        <v>596548.80000000005</v>
      </c>
      <c r="V17" s="129">
        <f t="shared" si="4"/>
        <v>1298541.25</v>
      </c>
      <c r="W17" s="129">
        <f t="shared" si="4"/>
        <v>7360026.75</v>
      </c>
      <c r="X17" s="129">
        <f t="shared" si="4"/>
        <v>848811</v>
      </c>
      <c r="Y17" s="129">
        <f t="shared" si="4"/>
        <v>3758598.17</v>
      </c>
      <c r="Z17" s="129">
        <f t="shared" si="4"/>
        <v>9516564.6999999993</v>
      </c>
      <c r="AA17" s="129">
        <f t="shared" si="4"/>
        <v>50942</v>
      </c>
      <c r="AB17" s="129">
        <f t="shared" si="4"/>
        <v>286207.2</v>
      </c>
      <c r="AC17" s="129">
        <f t="shared" si="4"/>
        <v>857901.03</v>
      </c>
      <c r="AD17" s="129">
        <f t="shared" si="4"/>
        <v>1168568.55</v>
      </c>
      <c r="AE17" s="129">
        <f t="shared" si="4"/>
        <v>1230165.25</v>
      </c>
      <c r="AF17" s="129">
        <f t="shared" si="4"/>
        <v>1252296.1499999999</v>
      </c>
      <c r="AG17" s="129">
        <f t="shared" si="4"/>
        <v>6915032.8499999996</v>
      </c>
      <c r="AH17" s="129">
        <f t="shared" si="4"/>
        <v>7675902</v>
      </c>
      <c r="AI17" s="129">
        <f t="shared" si="4"/>
        <v>521416.35</v>
      </c>
      <c r="AJ17" s="129">
        <f t="shared" si="4"/>
        <v>298886.64999999997</v>
      </c>
      <c r="AK17" s="129">
        <f t="shared" si="4"/>
        <v>5427042.9000000004</v>
      </c>
      <c r="AL17" s="129">
        <f t="shared" si="4"/>
        <v>2482113.44</v>
      </c>
      <c r="AM17" s="129">
        <f t="shared" si="4"/>
        <v>2961017.4</v>
      </c>
      <c r="AN17" s="129">
        <f t="shared" si="4"/>
        <v>334540.34999999998</v>
      </c>
      <c r="AO17" s="129">
        <f t="shared" si="4"/>
        <v>6828835.9500000002</v>
      </c>
      <c r="AP17" s="129">
        <f t="shared" si="4"/>
        <v>1931797.0799999998</v>
      </c>
      <c r="AQ17" s="129">
        <f t="shared" si="4"/>
        <v>1951760</v>
      </c>
      <c r="AR17" s="129">
        <f t="shared" si="4"/>
        <v>3322751.6</v>
      </c>
      <c r="AS17" s="129">
        <f t="shared" si="4"/>
        <v>1689242</v>
      </c>
      <c r="AT17" s="129">
        <f t="shared" si="4"/>
        <v>2391707.9500000002</v>
      </c>
      <c r="AU17" s="129">
        <f t="shared" si="4"/>
        <v>2254217.35</v>
      </c>
      <c r="AV17" s="129">
        <f t="shared" si="4"/>
        <v>5553039.5300000003</v>
      </c>
      <c r="AW17" s="129">
        <f t="shared" si="4"/>
        <v>2202056.9</v>
      </c>
      <c r="AX17" s="129">
        <f t="shared" si="4"/>
        <v>378808.9</v>
      </c>
      <c r="AY17" s="129">
        <f t="shared" si="4"/>
        <v>902646.45</v>
      </c>
      <c r="AZ17" s="129">
        <f t="shared" si="4"/>
        <v>4857539.6000000006</v>
      </c>
      <c r="BA17" s="129">
        <f t="shared" si="4"/>
        <v>984706.9</v>
      </c>
      <c r="BB17" s="129">
        <f t="shared" si="4"/>
        <v>3613483.71</v>
      </c>
      <c r="BC17" s="129">
        <f t="shared" si="4"/>
        <v>341683.35</v>
      </c>
      <c r="BD17" s="129">
        <f t="shared" si="4"/>
        <v>24686130.600000001</v>
      </c>
      <c r="BE17" s="129">
        <f t="shared" si="4"/>
        <v>1058276.3500000001</v>
      </c>
      <c r="BF17" s="4">
        <f t="shared" si="0"/>
        <v>100516758.10000001</v>
      </c>
      <c r="BG17" s="4">
        <f t="shared" si="1"/>
        <v>34381291.899999999</v>
      </c>
      <c r="BH17" s="4">
        <f t="shared" si="2"/>
        <v>76153398.310000002</v>
      </c>
    </row>
    <row r="18" spans="1:60" ht="15.75" hidden="1" thickBot="1" x14ac:dyDescent="0.3">
      <c r="B18" s="121"/>
      <c r="D18" s="4"/>
      <c r="BF18" s="4"/>
      <c r="BG18" s="4"/>
      <c r="BH18" s="4"/>
    </row>
    <row r="19" spans="1:60" ht="15.75" hidden="1" thickBot="1" x14ac:dyDescent="0.3">
      <c r="A19" s="7" t="s">
        <v>532</v>
      </c>
      <c r="B19" s="121"/>
      <c r="D19" s="120">
        <f>IF(D17&lt;&gt;0,D9/D17,"")*100</f>
        <v>1.4435025366540681</v>
      </c>
      <c r="E19" s="144">
        <f>IF(E17&lt;&gt;0,E9/E17,"")*100</f>
        <v>7.6553601655648548E-2</v>
      </c>
      <c r="F19" s="129">
        <f t="shared" ref="F19:BH19" si="5">IF(F17&lt;&gt;0,F9/F17,"")*100</f>
        <v>2.862309213919795</v>
      </c>
      <c r="G19" s="129">
        <f t="shared" si="5"/>
        <v>4.7484417593637103</v>
      </c>
      <c r="H19" s="129">
        <f t="shared" si="5"/>
        <v>5.2980397416059608</v>
      </c>
      <c r="I19" s="129">
        <f t="shared" si="5"/>
        <v>2.138289938260042</v>
      </c>
      <c r="J19" s="129">
        <f t="shared" si="5"/>
        <v>1.0779907609403421</v>
      </c>
      <c r="K19" s="129">
        <f t="shared" si="5"/>
        <v>0.74979844162490739</v>
      </c>
      <c r="L19" s="129">
        <f t="shared" si="5"/>
        <v>0.57893410650682231</v>
      </c>
      <c r="M19" s="129">
        <f t="shared" si="5"/>
        <v>0.3556992448713735</v>
      </c>
      <c r="N19" s="129" t="e">
        <f t="shared" si="5"/>
        <v>#VALUE!</v>
      </c>
      <c r="O19" s="129">
        <f t="shared" si="5"/>
        <v>0.88767018302878675</v>
      </c>
      <c r="P19" s="129">
        <f t="shared" si="5"/>
        <v>2.4626782377352914</v>
      </c>
      <c r="Q19" s="129">
        <f t="shared" si="5"/>
        <v>2.5978853826449186</v>
      </c>
      <c r="R19" s="129">
        <f t="shared" si="5"/>
        <v>3.7120647031162552</v>
      </c>
      <c r="S19" s="129">
        <f t="shared" si="5"/>
        <v>7.0274777957921826</v>
      </c>
      <c r="T19" s="129">
        <f t="shared" si="5"/>
        <v>1.6720419265770625</v>
      </c>
      <c r="U19" s="129">
        <f t="shared" si="5"/>
        <v>-0.18422801286332319</v>
      </c>
      <c r="V19" s="129">
        <f t="shared" si="5"/>
        <v>3.3745805148662011</v>
      </c>
      <c r="W19" s="129">
        <f t="shared" si="5"/>
        <v>1.5586797969178576</v>
      </c>
      <c r="X19" s="129">
        <f t="shared" si="5"/>
        <v>-0.26436980670608651</v>
      </c>
      <c r="Y19" s="129">
        <f t="shared" si="5"/>
        <v>3.2033339174429494</v>
      </c>
      <c r="Z19" s="129">
        <f t="shared" si="5"/>
        <v>-0.25376604648103745</v>
      </c>
      <c r="AA19" s="129">
        <f t="shared" si="5"/>
        <v>8.4291939853166333</v>
      </c>
      <c r="AB19" s="129">
        <f t="shared" si="5"/>
        <v>0.21439013414058061</v>
      </c>
      <c r="AC19" s="129">
        <f t="shared" si="5"/>
        <v>2.5101974758090688</v>
      </c>
      <c r="AD19" s="129">
        <f t="shared" si="5"/>
        <v>-1.5861619756923973</v>
      </c>
      <c r="AE19" s="129">
        <f t="shared" si="5"/>
        <v>2.2598289132293403</v>
      </c>
      <c r="AF19" s="129">
        <f t="shared" si="5"/>
        <v>0.19454663339817824</v>
      </c>
      <c r="AG19" s="129">
        <f t="shared" si="5"/>
        <v>0.84150648684192442</v>
      </c>
      <c r="AH19" s="129">
        <f t="shared" si="5"/>
        <v>1.9035812338406615</v>
      </c>
      <c r="AI19" s="129">
        <f t="shared" si="5"/>
        <v>0.42364225824525847</v>
      </c>
      <c r="AJ19" s="129">
        <f t="shared" si="5"/>
        <v>0.16400197198503161</v>
      </c>
      <c r="AK19" s="129">
        <f t="shared" si="5"/>
        <v>0.68738373157138666</v>
      </c>
      <c r="AL19" s="129">
        <f t="shared" si="5"/>
        <v>3.5327958258023857</v>
      </c>
      <c r="AM19" s="129">
        <f t="shared" si="5"/>
        <v>2.2483690909752845</v>
      </c>
      <c r="AN19" s="129">
        <f t="shared" si="5"/>
        <v>-2.0535758989909589</v>
      </c>
      <c r="AO19" s="129">
        <f t="shared" si="5"/>
        <v>0.62857726139987313</v>
      </c>
      <c r="AP19" s="129">
        <f t="shared" si="5"/>
        <v>1.4402496146230848</v>
      </c>
      <c r="AQ19" s="129">
        <f t="shared" si="5"/>
        <v>1.5740459892609744</v>
      </c>
      <c r="AR19" s="129">
        <f t="shared" si="5"/>
        <v>1.7595760092328301</v>
      </c>
      <c r="AS19" s="129">
        <f t="shared" si="5"/>
        <v>1.9026119407402848</v>
      </c>
      <c r="AT19" s="129">
        <f t="shared" si="5"/>
        <v>2.3316563378902511</v>
      </c>
      <c r="AU19" s="129">
        <f t="shared" si="5"/>
        <v>0.81127491987407518</v>
      </c>
      <c r="AV19" s="129">
        <f t="shared" si="5"/>
        <v>2.6740501161172174</v>
      </c>
      <c r="AW19" s="129">
        <f t="shared" si="5"/>
        <v>1.4438600564771966</v>
      </c>
      <c r="AX19" s="129">
        <f t="shared" si="5"/>
        <v>1.0029225818084</v>
      </c>
      <c r="AY19" s="129">
        <f t="shared" si="5"/>
        <v>0.89846473112479441</v>
      </c>
      <c r="AZ19" s="129">
        <f t="shared" si="5"/>
        <v>5.4527880740282582</v>
      </c>
      <c r="BA19" s="129">
        <f t="shared" si="5"/>
        <v>-0.21033873125089297</v>
      </c>
      <c r="BB19" s="129">
        <f t="shared" si="5"/>
        <v>1.4692231724492817</v>
      </c>
      <c r="BC19" s="129">
        <f t="shared" si="5"/>
        <v>-1.0828300530300936</v>
      </c>
      <c r="BD19" s="129">
        <f t="shared" si="5"/>
        <v>2.4316799166573313</v>
      </c>
      <c r="BE19" s="129">
        <f t="shared" si="5"/>
        <v>2.3162815648294512</v>
      </c>
      <c r="BF19" s="129">
        <f t="shared" si="5"/>
        <v>1.1215689217497751</v>
      </c>
      <c r="BG19" s="129">
        <f t="shared" si="5"/>
        <v>0.98645621283358476</v>
      </c>
      <c r="BH19" s="129">
        <f t="shared" si="5"/>
        <v>2.074775302302593</v>
      </c>
    </row>
    <row r="20" spans="1:60" hidden="1" x14ac:dyDescent="0.25">
      <c r="A20" s="123" t="s">
        <v>533</v>
      </c>
      <c r="B20" s="121"/>
      <c r="D20" s="4"/>
      <c r="BF20" s="4"/>
      <c r="BG20" s="4"/>
      <c r="BH20" s="4"/>
    </row>
    <row r="21" spans="1:60" hidden="1" x14ac:dyDescent="0.25">
      <c r="A21" s="123"/>
      <c r="B21" s="121"/>
      <c r="D21" s="4"/>
      <c r="BF21" s="4"/>
      <c r="BG21" s="4"/>
      <c r="BH21" s="4"/>
    </row>
    <row r="22" spans="1:60" hidden="1" x14ac:dyDescent="0.25">
      <c r="B22" s="121"/>
      <c r="D22" s="4"/>
      <c r="BF22" s="4"/>
      <c r="BG22" s="4"/>
      <c r="BH22" s="4"/>
    </row>
    <row r="23" spans="1:60" x14ac:dyDescent="0.25">
      <c r="A23" s="7" t="s">
        <v>534</v>
      </c>
      <c r="B23" s="121"/>
      <c r="D23" s="4"/>
      <c r="BF23" s="4"/>
      <c r="BG23" s="4"/>
      <c r="BH23" s="4"/>
    </row>
    <row r="24" spans="1:60" x14ac:dyDescent="0.25">
      <c r="B24" s="121"/>
      <c r="D24" s="4"/>
      <c r="BF24" s="4"/>
      <c r="BG24" s="4"/>
      <c r="BH24" s="4"/>
    </row>
    <row r="25" spans="1:60" x14ac:dyDescent="0.25">
      <c r="A25" s="111" t="s">
        <v>260</v>
      </c>
      <c r="B25" s="112" t="s">
        <v>231</v>
      </c>
      <c r="C25" s="124">
        <v>200</v>
      </c>
      <c r="D25" s="113">
        <f>'Base de données indicateurs1'!BF9</f>
        <v>35810906.580000013</v>
      </c>
      <c r="E25" s="4">
        <f>'Base de données indicateurs1'!E9</f>
        <v>3771.65</v>
      </c>
      <c r="F25" s="4">
        <f>'Base de données indicateurs1'!F9</f>
        <v>44599</v>
      </c>
      <c r="G25" s="4">
        <f>'Base de données indicateurs1'!G9</f>
        <v>112759.55</v>
      </c>
      <c r="H25" s="4">
        <f>'Base de données indicateurs1'!H9</f>
        <v>233640.35</v>
      </c>
      <c r="I25" s="4">
        <f>'Base de données indicateurs1'!I9</f>
        <v>600201</v>
      </c>
      <c r="J25" s="4">
        <f>'Base de données indicateurs1'!J9</f>
        <v>950985.5</v>
      </c>
      <c r="K25" s="4">
        <f>'Base de données indicateurs1'!K9</f>
        <v>201552.2</v>
      </c>
      <c r="L25" s="4">
        <f>'Base de données indicateurs1'!L9</f>
        <v>3705859.12</v>
      </c>
      <c r="M25" s="4">
        <f>'Base de données indicateurs1'!M9</f>
        <v>242544.73</v>
      </c>
      <c r="N25" s="4">
        <f>'Base de données indicateurs1'!N9</f>
        <v>0</v>
      </c>
      <c r="O25" s="4">
        <f>'Base de données indicateurs1'!O9</f>
        <v>1453277.22</v>
      </c>
      <c r="P25" s="4">
        <f>'Base de données indicateurs1'!P9</f>
        <v>91190.97</v>
      </c>
      <c r="Q25" s="4">
        <f>'Base de données indicateurs1'!Q9</f>
        <v>25537.75</v>
      </c>
      <c r="R25" s="4">
        <f>'Base de données indicateurs1'!R9</f>
        <v>266808.40999999997</v>
      </c>
      <c r="S25" s="4">
        <f>'Base de données indicateurs1'!S9</f>
        <v>563608.91</v>
      </c>
      <c r="T25" s="4">
        <f>'Base de données indicateurs1'!T9</f>
        <v>401478.57</v>
      </c>
      <c r="U25" s="4">
        <f>'Base de données indicateurs1'!U9</f>
        <v>213190.62</v>
      </c>
      <c r="V25" s="4">
        <f>'Base de données indicateurs1'!V9</f>
        <v>221716.45</v>
      </c>
      <c r="W25" s="4">
        <f>'Base de données indicateurs1'!W9</f>
        <v>2071297.12</v>
      </c>
      <c r="X25" s="4">
        <f>'Base de données indicateurs1'!X9</f>
        <v>135</v>
      </c>
      <c r="Y25" s="4">
        <f>'Base de données indicateurs1'!Y9</f>
        <v>8866789.9800000004</v>
      </c>
      <c r="Z25" s="4">
        <f>'Base de données indicateurs1'!Z9</f>
        <v>3389024.96</v>
      </c>
      <c r="AA25" s="4">
        <f>'Base de données indicateurs1'!AA9</f>
        <v>33957</v>
      </c>
      <c r="AB25" s="4">
        <f>'Base de données indicateurs1'!AB9</f>
        <v>31444.13</v>
      </c>
      <c r="AC25" s="4">
        <f>'Base de données indicateurs1'!AC9</f>
        <v>287157.11</v>
      </c>
      <c r="AD25" s="4">
        <f>'Base de données indicateurs1'!AD9</f>
        <v>640852.55000000005</v>
      </c>
      <c r="AE25" s="4">
        <f>'Base de données indicateurs1'!AE9</f>
        <v>0</v>
      </c>
      <c r="AF25" s="4">
        <f>'Base de données indicateurs1'!AF9</f>
        <v>163650.85</v>
      </c>
      <c r="AG25" s="4">
        <f>'Base de données indicateurs1'!AG9</f>
        <v>1264494.6399999999</v>
      </c>
      <c r="AH25" s="4">
        <f>'Base de données indicateurs1'!AH9</f>
        <v>283597</v>
      </c>
      <c r="AI25" s="4">
        <f>'Base de données indicateurs1'!AI9</f>
        <v>74.5</v>
      </c>
      <c r="AJ25" s="4">
        <f>'Base de données indicateurs1'!AJ9</f>
        <v>43246.05</v>
      </c>
      <c r="AK25" s="4">
        <f>'Base de données indicateurs1'!AK9</f>
        <v>341865.4</v>
      </c>
      <c r="AL25" s="4">
        <f>'Base de données indicateurs1'!AL9</f>
        <v>320246</v>
      </c>
      <c r="AM25" s="4">
        <f>'Base de données indicateurs1'!AM9</f>
        <v>179595.55</v>
      </c>
      <c r="AN25" s="4">
        <f>'Base de données indicateurs1'!AN9</f>
        <v>30726.94</v>
      </c>
      <c r="AO25" s="4">
        <f>'Base de données indicateurs1'!AO9</f>
        <v>1175364.1000000001</v>
      </c>
      <c r="AP25" s="4">
        <f>'Base de données indicateurs1'!AP9</f>
        <v>352732.84</v>
      </c>
      <c r="AQ25" s="4">
        <f>'Base de données indicateurs1'!AQ9</f>
        <v>135768</v>
      </c>
      <c r="AR25" s="4">
        <f>'Base de données indicateurs1'!AR9</f>
        <v>320325.25</v>
      </c>
      <c r="AS25" s="4">
        <f>'Base de données indicateurs1'!AS9</f>
        <v>362403.69</v>
      </c>
      <c r="AT25" s="4">
        <f>'Base de données indicateurs1'!AT9</f>
        <v>212758.25</v>
      </c>
      <c r="AU25" s="4">
        <f>'Base de données indicateurs1'!AU9</f>
        <v>47182.1</v>
      </c>
      <c r="AV25" s="4">
        <f>'Base de données indicateurs1'!AV9</f>
        <v>526840.46</v>
      </c>
      <c r="AW25" s="4">
        <f>'Base de données indicateurs1'!AW9</f>
        <v>125306.3</v>
      </c>
      <c r="AX25" s="4">
        <f>'Base de données indicateurs1'!AX9</f>
        <v>18759.349999999999</v>
      </c>
      <c r="AY25" s="4">
        <f>'Base de données indicateurs1'!AY9</f>
        <v>110841.3</v>
      </c>
      <c r="AZ25" s="4">
        <f>'Base de données indicateurs1'!AZ9</f>
        <v>1391754.4</v>
      </c>
      <c r="BA25" s="4">
        <f>'Base de données indicateurs1'!BA9</f>
        <v>34063.440000000002</v>
      </c>
      <c r="BB25" s="4">
        <f>'Base de données indicateurs1'!BB9</f>
        <v>1010318.05</v>
      </c>
      <c r="BC25" s="4">
        <f>'Base de données indicateurs1'!BC9</f>
        <v>57543.88</v>
      </c>
      <c r="BD25" s="4">
        <f>'Base de données indicateurs1'!BD9</f>
        <v>2244759.54</v>
      </c>
      <c r="BE25" s="4">
        <f>'Base de données indicateurs1'!BE9</f>
        <v>403308.85</v>
      </c>
      <c r="BF25" s="4">
        <f t="shared" si="0"/>
        <v>11404019.119999997</v>
      </c>
      <c r="BG25" s="4">
        <f t="shared" si="1"/>
        <v>15004423.770000003</v>
      </c>
      <c r="BH25" s="4">
        <f t="shared" si="2"/>
        <v>9402463.6899999995</v>
      </c>
    </row>
    <row r="26" spans="1:60" x14ac:dyDescent="0.25">
      <c r="A26" s="114" t="s">
        <v>261</v>
      </c>
      <c r="B26" s="115" t="s">
        <v>231</v>
      </c>
      <c r="C26" s="114">
        <v>201</v>
      </c>
      <c r="D26" s="116">
        <f>'Base de données indicateurs1'!BF10</f>
        <v>98715493.190000013</v>
      </c>
      <c r="E26" s="4">
        <f>'Base de données indicateurs1'!E10</f>
        <v>3909040.76</v>
      </c>
      <c r="F26" s="4">
        <f>'Base de données indicateurs1'!F10</f>
        <v>74260</v>
      </c>
      <c r="G26" s="4">
        <f>'Base de données indicateurs1'!G10</f>
        <v>180090.75</v>
      </c>
      <c r="H26" s="4">
        <f>'Base de données indicateurs1'!H10</f>
        <v>352998.33</v>
      </c>
      <c r="I26" s="4">
        <f>'Base de données indicateurs1'!I10</f>
        <v>4511771</v>
      </c>
      <c r="J26" s="4">
        <f>'Base de données indicateurs1'!J10</f>
        <v>5336550</v>
      </c>
      <c r="K26" s="4">
        <f>'Base de données indicateurs1'!K10</f>
        <v>0</v>
      </c>
      <c r="L26" s="4">
        <f>'Base de données indicateurs1'!L10</f>
        <v>49004578.5</v>
      </c>
      <c r="M26" s="4">
        <f>'Base de données indicateurs1'!M10</f>
        <v>213200</v>
      </c>
      <c r="N26" s="4">
        <f>'Base de données indicateurs1'!N10</f>
        <v>0</v>
      </c>
      <c r="O26" s="4">
        <f>'Base de données indicateurs1'!O10</f>
        <v>3586455.24</v>
      </c>
      <c r="P26" s="4">
        <f>'Base de données indicateurs1'!P10</f>
        <v>1264473.8700000001</v>
      </c>
      <c r="Q26" s="4">
        <f>'Base de données indicateurs1'!Q10</f>
        <v>125256.5</v>
      </c>
      <c r="R26" s="4">
        <f>'Base de données indicateurs1'!R10</f>
        <v>0</v>
      </c>
      <c r="S26" s="4">
        <f>'Base de données indicateurs1'!S10</f>
        <v>2512156.62</v>
      </c>
      <c r="T26" s="4">
        <f>'Base de données indicateurs1'!T10</f>
        <v>0</v>
      </c>
      <c r="U26" s="4">
        <f>'Base de données indicateurs1'!U10</f>
        <v>160308.07999999999</v>
      </c>
      <c r="V26" s="4">
        <f>'Base de données indicateurs1'!V10</f>
        <v>675483.74</v>
      </c>
      <c r="W26" s="4">
        <f>'Base de données indicateurs1'!W10</f>
        <v>0</v>
      </c>
      <c r="X26" s="4">
        <f>'Base de données indicateurs1'!X10</f>
        <v>63507</v>
      </c>
      <c r="Y26" s="4">
        <f>'Base de données indicateurs1'!Y10</f>
        <v>0</v>
      </c>
      <c r="Z26" s="4">
        <f>'Base de données indicateurs1'!Z10</f>
        <v>0</v>
      </c>
      <c r="AA26" s="4">
        <f>'Base de données indicateurs1'!AA10</f>
        <v>0</v>
      </c>
      <c r="AB26" s="4">
        <f>'Base de données indicateurs1'!AB10</f>
        <v>0</v>
      </c>
      <c r="AC26" s="4">
        <f>'Base de données indicateurs1'!AC10</f>
        <v>795091.5</v>
      </c>
      <c r="AD26" s="4">
        <f>'Base de données indicateurs1'!AD10</f>
        <v>87760.01</v>
      </c>
      <c r="AE26" s="4">
        <f>'Base de données indicateurs1'!AE10</f>
        <v>195428.94</v>
      </c>
      <c r="AF26" s="4">
        <f>'Base de données indicateurs1'!AF10</f>
        <v>484090.65</v>
      </c>
      <c r="AG26" s="4">
        <f>'Base de données indicateurs1'!AG10</f>
        <v>1436720.75</v>
      </c>
      <c r="AH26" s="4">
        <f>'Base de données indicateurs1'!AH10</f>
        <v>7465504</v>
      </c>
      <c r="AI26" s="4">
        <f>'Base de données indicateurs1'!AI10</f>
        <v>-28418</v>
      </c>
      <c r="AJ26" s="4">
        <f>'Base de données indicateurs1'!AJ10</f>
        <v>16520</v>
      </c>
      <c r="AK26" s="4">
        <f>'Base de données indicateurs1'!AK10</f>
        <v>0</v>
      </c>
      <c r="AL26" s="4">
        <f>'Base de données indicateurs1'!AL10</f>
        <v>512379</v>
      </c>
      <c r="AM26" s="4">
        <f>'Base de données indicateurs1'!AM10</f>
        <v>438479.73</v>
      </c>
      <c r="AN26" s="4">
        <f>'Base de données indicateurs1'!AN10</f>
        <v>0</v>
      </c>
      <c r="AO26" s="4">
        <f>'Base de données indicateurs1'!AO10</f>
        <v>1000000</v>
      </c>
      <c r="AP26" s="4">
        <f>'Base de données indicateurs1'!AP10</f>
        <v>50050</v>
      </c>
      <c r="AQ26" s="4">
        <f>'Base de données indicateurs1'!AQ10</f>
        <v>334240</v>
      </c>
      <c r="AR26" s="4">
        <f>'Base de données indicateurs1'!AR10</f>
        <v>32000</v>
      </c>
      <c r="AS26" s="4">
        <f>'Base de données indicateurs1'!AS10</f>
        <v>333359.06</v>
      </c>
      <c r="AT26" s="4">
        <f>'Base de données indicateurs1'!AT10</f>
        <v>276059</v>
      </c>
      <c r="AU26" s="4">
        <f>'Base de données indicateurs1'!AU10</f>
        <v>19300</v>
      </c>
      <c r="AV26" s="4">
        <f>'Base de données indicateurs1'!AV10</f>
        <v>0</v>
      </c>
      <c r="AW26" s="4">
        <f>'Base de données indicateurs1'!AW10</f>
        <v>1227600</v>
      </c>
      <c r="AX26" s="4">
        <f>'Base de données indicateurs1'!AX10</f>
        <v>10000</v>
      </c>
      <c r="AY26" s="4">
        <f>'Base de données indicateurs1'!AY10</f>
        <v>235243.64</v>
      </c>
      <c r="AZ26" s="4">
        <f>'Base de données indicateurs1'!AZ10</f>
        <v>530829.82999999996</v>
      </c>
      <c r="BA26" s="4">
        <f>'Base de données indicateurs1'!BA10</f>
        <v>306582.07</v>
      </c>
      <c r="BB26" s="4">
        <f>'Base de données indicateurs1'!BB10</f>
        <v>725276.54</v>
      </c>
      <c r="BC26" s="4">
        <f>'Base de données indicateurs1'!BC10</f>
        <v>0</v>
      </c>
      <c r="BD26" s="4">
        <f>'Base de données indicateurs1'!BD10</f>
        <v>10110840.08</v>
      </c>
      <c r="BE26" s="4">
        <f>'Base de données indicateurs1'!BE10</f>
        <v>150426</v>
      </c>
      <c r="BF26" s="4">
        <f t="shared" si="0"/>
        <v>71906623.390000001</v>
      </c>
      <c r="BG26" s="4">
        <f t="shared" si="1"/>
        <v>10516204.85</v>
      </c>
      <c r="BH26" s="4">
        <f t="shared" si="2"/>
        <v>16292664.949999999</v>
      </c>
    </row>
    <row r="27" spans="1:60" x14ac:dyDescent="0.25">
      <c r="A27" s="114" t="s">
        <v>276</v>
      </c>
      <c r="B27" s="115" t="s">
        <v>232</v>
      </c>
      <c r="C27" s="114">
        <v>2016</v>
      </c>
      <c r="D27" s="116">
        <f>'Base de données indicateurs1'!BF11</f>
        <v>162300</v>
      </c>
      <c r="E27" s="4">
        <f>'Base de données indicateurs1'!E11</f>
        <v>0</v>
      </c>
      <c r="F27" s="4">
        <f>'Base de données indicateurs1'!F11</f>
        <v>0</v>
      </c>
      <c r="G27" s="4">
        <f>'Base de données indicateurs1'!G11</f>
        <v>0</v>
      </c>
      <c r="H27" s="4">
        <f>'Base de données indicateurs1'!H11</f>
        <v>0</v>
      </c>
      <c r="I27" s="4">
        <f>'Base de données indicateurs1'!I11</f>
        <v>0</v>
      </c>
      <c r="J27" s="4">
        <f>'Base de données indicateurs1'!J11</f>
        <v>0</v>
      </c>
      <c r="K27" s="4">
        <f>'Base de données indicateurs1'!K11</f>
        <v>0</v>
      </c>
      <c r="L27" s="4">
        <f>'Base de données indicateurs1'!L11</f>
        <v>0</v>
      </c>
      <c r="M27" s="4">
        <f>'Base de données indicateurs1'!M11</f>
        <v>0</v>
      </c>
      <c r="N27" s="4">
        <f>'Base de données indicateurs1'!N11</f>
        <v>0</v>
      </c>
      <c r="O27" s="4">
        <f>'Base de données indicateurs1'!O11</f>
        <v>0</v>
      </c>
      <c r="P27" s="4">
        <f>'Base de données indicateurs1'!P11</f>
        <v>0</v>
      </c>
      <c r="Q27" s="4">
        <f>'Base de données indicateurs1'!Q11</f>
        <v>0</v>
      </c>
      <c r="R27" s="4">
        <f>'Base de données indicateurs1'!R11</f>
        <v>0</v>
      </c>
      <c r="S27" s="4">
        <f>'Base de données indicateurs1'!S11</f>
        <v>0</v>
      </c>
      <c r="T27" s="4">
        <f>'Base de données indicateurs1'!T11</f>
        <v>0</v>
      </c>
      <c r="U27" s="4">
        <f>'Base de données indicateurs1'!U11</f>
        <v>0</v>
      </c>
      <c r="V27" s="4">
        <f>'Base de données indicateurs1'!V11</f>
        <v>0</v>
      </c>
      <c r="W27" s="4">
        <f>'Base de données indicateurs1'!W11</f>
        <v>0</v>
      </c>
      <c r="X27" s="4">
        <f>'Base de données indicateurs1'!X11</f>
        <v>0</v>
      </c>
      <c r="Y27" s="4">
        <f>'Base de données indicateurs1'!Y11</f>
        <v>0</v>
      </c>
      <c r="Z27" s="4">
        <f>'Base de données indicateurs1'!Z11</f>
        <v>0</v>
      </c>
      <c r="AA27" s="4">
        <f>'Base de données indicateurs1'!AA11</f>
        <v>0</v>
      </c>
      <c r="AB27" s="4">
        <f>'Base de données indicateurs1'!AB11</f>
        <v>0</v>
      </c>
      <c r="AC27" s="4">
        <f>'Base de données indicateurs1'!AC11</f>
        <v>0</v>
      </c>
      <c r="AD27" s="4">
        <f>'Base de données indicateurs1'!AD11</f>
        <v>0</v>
      </c>
      <c r="AE27" s="4">
        <f>'Base de données indicateurs1'!AE11</f>
        <v>0</v>
      </c>
      <c r="AF27" s="4">
        <f>'Base de données indicateurs1'!AF11</f>
        <v>0</v>
      </c>
      <c r="AG27" s="4">
        <f>'Base de données indicateurs1'!AG11</f>
        <v>0</v>
      </c>
      <c r="AH27" s="4">
        <f>'Base de données indicateurs1'!AH11</f>
        <v>0</v>
      </c>
      <c r="AI27" s="4">
        <f>'Base de données indicateurs1'!AI11</f>
        <v>0</v>
      </c>
      <c r="AJ27" s="4">
        <f>'Base de données indicateurs1'!AJ11</f>
        <v>0</v>
      </c>
      <c r="AK27" s="4">
        <f>'Base de données indicateurs1'!AK11</f>
        <v>0</v>
      </c>
      <c r="AL27" s="4">
        <f>'Base de données indicateurs1'!AL11</f>
        <v>162300</v>
      </c>
      <c r="AM27" s="4">
        <f>'Base de données indicateurs1'!AM11</f>
        <v>0</v>
      </c>
      <c r="AN27" s="4">
        <f>'Base de données indicateurs1'!AN11</f>
        <v>0</v>
      </c>
      <c r="AO27" s="4">
        <f>'Base de données indicateurs1'!AO11</f>
        <v>0</v>
      </c>
      <c r="AP27" s="4">
        <f>'Base de données indicateurs1'!AP11</f>
        <v>0</v>
      </c>
      <c r="AQ27" s="4">
        <f>'Base de données indicateurs1'!AQ11</f>
        <v>0</v>
      </c>
      <c r="AR27" s="4">
        <f>'Base de données indicateurs1'!AR11</f>
        <v>0</v>
      </c>
      <c r="AS27" s="4">
        <f>'Base de données indicateurs1'!AS11</f>
        <v>0</v>
      </c>
      <c r="AT27" s="4">
        <f>'Base de données indicateurs1'!AT11</f>
        <v>0</v>
      </c>
      <c r="AU27" s="4">
        <f>'Base de données indicateurs1'!AU11</f>
        <v>0</v>
      </c>
      <c r="AV27" s="4">
        <f>'Base de données indicateurs1'!AV11</f>
        <v>0</v>
      </c>
      <c r="AW27" s="4">
        <f>'Base de données indicateurs1'!AW11</f>
        <v>0</v>
      </c>
      <c r="AX27" s="4">
        <f>'Base de données indicateurs1'!AX11</f>
        <v>0</v>
      </c>
      <c r="AY27" s="4">
        <f>'Base de données indicateurs1'!AY11</f>
        <v>0</v>
      </c>
      <c r="AZ27" s="4">
        <f>'Base de données indicateurs1'!AZ11</f>
        <v>0</v>
      </c>
      <c r="BA27" s="4">
        <f>'Base de données indicateurs1'!BA11</f>
        <v>0</v>
      </c>
      <c r="BB27" s="4">
        <f>'Base de données indicateurs1'!BB11</f>
        <v>0</v>
      </c>
      <c r="BC27" s="4">
        <f>'Base de données indicateurs1'!BC11</f>
        <v>0</v>
      </c>
      <c r="BD27" s="4">
        <f>'Base de données indicateurs1'!BD11</f>
        <v>0</v>
      </c>
      <c r="BE27" s="4">
        <f>'Base de données indicateurs1'!BE11</f>
        <v>0</v>
      </c>
      <c r="BF27" s="4">
        <f t="shared" si="0"/>
        <v>0</v>
      </c>
      <c r="BG27" s="4">
        <f t="shared" si="1"/>
        <v>0</v>
      </c>
      <c r="BH27" s="4">
        <f t="shared" si="2"/>
        <v>162300</v>
      </c>
    </row>
    <row r="28" spans="1:60" x14ac:dyDescent="0.25">
      <c r="A28" s="114" t="s">
        <v>264</v>
      </c>
      <c r="B28" s="115" t="s">
        <v>231</v>
      </c>
      <c r="C28" s="114">
        <v>206</v>
      </c>
      <c r="D28" s="116">
        <f>'Base de données indicateurs1'!BF12</f>
        <v>404350735.29000002</v>
      </c>
      <c r="E28" s="4">
        <f>'Base de données indicateurs1'!E12</f>
        <v>3449574.66</v>
      </c>
      <c r="F28" s="4">
        <f>'Base de données indicateurs1'!F12</f>
        <v>1575200.85</v>
      </c>
      <c r="G28" s="4">
        <f>'Base de données indicateurs1'!G12</f>
        <v>5302040</v>
      </c>
      <c r="H28" s="4">
        <f>'Base de données indicateurs1'!H12</f>
        <v>3739314.97</v>
      </c>
      <c r="I28" s="4">
        <f>'Base de données indicateurs1'!I12</f>
        <v>17801406</v>
      </c>
      <c r="J28" s="4">
        <f>'Base de données indicateurs1'!J12</f>
        <v>14552620</v>
      </c>
      <c r="K28" s="4">
        <f>'Base de données indicateurs1'!K12</f>
        <v>6615738.4900000002</v>
      </c>
      <c r="L28" s="4">
        <f>'Base de données indicateurs1'!L12</f>
        <v>66513986.549999997</v>
      </c>
      <c r="M28" s="4">
        <f>'Base de données indicateurs1'!M12</f>
        <v>5198699.75</v>
      </c>
      <c r="N28" s="4">
        <f>'Base de données indicateurs1'!N12</f>
        <v>0</v>
      </c>
      <c r="O28" s="4">
        <f>'Base de données indicateurs1'!O12</f>
        <v>32997633.300000001</v>
      </c>
      <c r="P28" s="4">
        <f>'Base de données indicateurs1'!P12</f>
        <v>1797463.35</v>
      </c>
      <c r="Q28" s="4">
        <f>'Base de données indicateurs1'!Q12</f>
        <v>385600</v>
      </c>
      <c r="R28" s="4">
        <f>'Base de données indicateurs1'!R12</f>
        <v>3046722.25</v>
      </c>
      <c r="S28" s="4">
        <f>'Base de données indicateurs1'!S12</f>
        <v>1129011</v>
      </c>
      <c r="T28" s="4">
        <f>'Base de données indicateurs1'!T12</f>
        <v>5103900</v>
      </c>
      <c r="U28" s="4">
        <f>'Base de données indicateurs1'!U12</f>
        <v>280221.77</v>
      </c>
      <c r="V28" s="4">
        <f>'Base de données indicateurs1'!V12</f>
        <v>1847698.1</v>
      </c>
      <c r="W28" s="4">
        <f>'Base de données indicateurs1'!W12</f>
        <v>12761720</v>
      </c>
      <c r="X28" s="4">
        <f>'Base de données indicateurs1'!X12</f>
        <v>504064</v>
      </c>
      <c r="Y28" s="4">
        <f>'Base de données indicateurs1'!Y12</f>
        <v>3210200</v>
      </c>
      <c r="Z28" s="4">
        <f>'Base de données indicateurs1'!Z12</f>
        <v>4729200</v>
      </c>
      <c r="AA28" s="4">
        <f>'Base de données indicateurs1'!AA12</f>
        <v>610190</v>
      </c>
      <c r="AB28" s="4">
        <f>'Base de données indicateurs1'!AB12</f>
        <v>1200000</v>
      </c>
      <c r="AC28" s="4">
        <f>'Base de données indicateurs1'!AC12</f>
        <v>1985134.62</v>
      </c>
      <c r="AD28" s="4">
        <f>'Base de données indicateurs1'!AD12</f>
        <v>6970357.2800000003</v>
      </c>
      <c r="AE28" s="4">
        <f>'Base de données indicateurs1'!AE12</f>
        <v>3642000</v>
      </c>
      <c r="AF28" s="4">
        <f>'Base de données indicateurs1'!AF12</f>
        <v>515000</v>
      </c>
      <c r="AG28" s="4">
        <f>'Base de données indicateurs1'!AG12</f>
        <v>4377400</v>
      </c>
      <c r="AH28" s="4">
        <f>'Base de données indicateurs1'!AH12</f>
        <v>11523397</v>
      </c>
      <c r="AI28" s="4">
        <f>'Base de données indicateurs1'!AI12</f>
        <v>913401</v>
      </c>
      <c r="AJ28" s="4">
        <f>'Base de données indicateurs1'!AJ12</f>
        <v>659260</v>
      </c>
      <c r="AK28" s="4">
        <f>'Base de données indicateurs1'!AK12</f>
        <v>16838944.620000001</v>
      </c>
      <c r="AL28" s="4">
        <f>'Base de données indicateurs1'!AL12</f>
        <v>5808800</v>
      </c>
      <c r="AM28" s="4">
        <f>'Base de données indicateurs1'!AM12</f>
        <v>10805793.380000001</v>
      </c>
      <c r="AN28" s="4">
        <f>'Base de données indicateurs1'!AN12</f>
        <v>1600000</v>
      </c>
      <c r="AO28" s="4">
        <f>'Base de données indicateurs1'!AO12</f>
        <v>7922475</v>
      </c>
      <c r="AP28" s="4">
        <f>'Base de données indicateurs1'!AP12</f>
        <v>4736229.05</v>
      </c>
      <c r="AQ28" s="4">
        <f>'Base de données indicateurs1'!AQ12</f>
        <v>3968985</v>
      </c>
      <c r="AR28" s="4">
        <f>'Base de données indicateurs1'!AR12</f>
        <v>9008304.7300000004</v>
      </c>
      <c r="AS28" s="4">
        <f>'Base de données indicateurs1'!AS12</f>
        <v>4813702</v>
      </c>
      <c r="AT28" s="4">
        <f>'Base de données indicateurs1'!AT12</f>
        <v>7532739.1200000001</v>
      </c>
      <c r="AU28" s="4">
        <f>'Base de données indicateurs1'!AU12</f>
        <v>1825965</v>
      </c>
      <c r="AV28" s="4">
        <f>'Base de données indicateurs1'!AV12</f>
        <v>13357775</v>
      </c>
      <c r="AW28" s="4">
        <f>'Base de données indicateurs1'!AW12</f>
        <v>4368892</v>
      </c>
      <c r="AX28" s="4">
        <f>'Base de données indicateurs1'!AX12</f>
        <v>798406.85</v>
      </c>
      <c r="AY28" s="4">
        <f>'Base de données indicateurs1'!AY12</f>
        <v>1660900</v>
      </c>
      <c r="AZ28" s="4">
        <f>'Base de données indicateurs1'!AZ12</f>
        <v>18633004.399999999</v>
      </c>
      <c r="BA28" s="4">
        <f>'Base de données indicateurs1'!BA12</f>
        <v>871280</v>
      </c>
      <c r="BB28" s="4">
        <f>'Base de données indicateurs1'!BB12</f>
        <v>8489385.5500000007</v>
      </c>
      <c r="BC28" s="4">
        <f>'Base de données indicateurs1'!BC12</f>
        <v>148745.70000000001</v>
      </c>
      <c r="BD28" s="4">
        <f>'Base de données indicateurs1'!BD12</f>
        <v>52347931</v>
      </c>
      <c r="BE28" s="4">
        <f>'Base de données indicateurs1'!BE12</f>
        <v>3874321.95</v>
      </c>
      <c r="BF28" s="4">
        <f t="shared" si="0"/>
        <v>184098551.04000002</v>
      </c>
      <c r="BG28" s="4">
        <f t="shared" si="1"/>
        <v>40839603.900000006</v>
      </c>
      <c r="BH28" s="4">
        <f t="shared" si="2"/>
        <v>179412580.34999999</v>
      </c>
    </row>
    <row r="29" spans="1:60" ht="15.75" thickBot="1" x14ac:dyDescent="0.3">
      <c r="B29" s="121"/>
      <c r="D29" s="4"/>
      <c r="BF29" s="4"/>
      <c r="BG29" s="4"/>
      <c r="BH29" s="4"/>
    </row>
    <row r="30" spans="1:60" ht="15.75" thickBot="1" x14ac:dyDescent="0.3">
      <c r="A30" s="7" t="s">
        <v>535</v>
      </c>
      <c r="B30" s="64"/>
      <c r="C30" s="7"/>
      <c r="D30" s="120">
        <f>SUM(D25:D26,D28)-D27</f>
        <v>538714835.06000006</v>
      </c>
      <c r="E30" s="144">
        <f>SUM(E25:E26,E28)-E27</f>
        <v>7362387.0700000003</v>
      </c>
      <c r="F30" s="129">
        <f t="shared" ref="F30:BE30" si="6">SUM(F25:F26,F28)-F27</f>
        <v>1694059.85</v>
      </c>
      <c r="G30" s="129">
        <f t="shared" si="6"/>
        <v>5594890.2999999998</v>
      </c>
      <c r="H30" s="129">
        <f t="shared" si="6"/>
        <v>4325953.6500000004</v>
      </c>
      <c r="I30" s="129">
        <f t="shared" si="6"/>
        <v>22913378</v>
      </c>
      <c r="J30" s="129">
        <f t="shared" si="6"/>
        <v>20840155.5</v>
      </c>
      <c r="K30" s="129">
        <f t="shared" si="6"/>
        <v>6817290.6900000004</v>
      </c>
      <c r="L30" s="129">
        <f t="shared" si="6"/>
        <v>119224424.16999999</v>
      </c>
      <c r="M30" s="129">
        <f t="shared" si="6"/>
        <v>5654444.4800000004</v>
      </c>
      <c r="N30" s="129">
        <f t="shared" si="6"/>
        <v>0</v>
      </c>
      <c r="O30" s="129">
        <f t="shared" si="6"/>
        <v>38037365.759999998</v>
      </c>
      <c r="P30" s="129">
        <f t="shared" si="6"/>
        <v>3153128.1900000004</v>
      </c>
      <c r="Q30" s="129">
        <f t="shared" si="6"/>
        <v>536394.25</v>
      </c>
      <c r="R30" s="129">
        <f t="shared" si="6"/>
        <v>3313530.66</v>
      </c>
      <c r="S30" s="129">
        <f t="shared" si="6"/>
        <v>4204776.53</v>
      </c>
      <c r="T30" s="129">
        <f t="shared" si="6"/>
        <v>5505378.5700000003</v>
      </c>
      <c r="U30" s="129">
        <f t="shared" si="6"/>
        <v>653720.47</v>
      </c>
      <c r="V30" s="129">
        <f t="shared" si="6"/>
        <v>2744898.29</v>
      </c>
      <c r="W30" s="129">
        <f t="shared" si="6"/>
        <v>14833017.120000001</v>
      </c>
      <c r="X30" s="129">
        <f t="shared" si="6"/>
        <v>567706</v>
      </c>
      <c r="Y30" s="129">
        <f t="shared" si="6"/>
        <v>12076989.98</v>
      </c>
      <c r="Z30" s="129">
        <f t="shared" si="6"/>
        <v>8118224.96</v>
      </c>
      <c r="AA30" s="129">
        <f t="shared" si="6"/>
        <v>644147</v>
      </c>
      <c r="AB30" s="129">
        <f t="shared" si="6"/>
        <v>1231444.1299999999</v>
      </c>
      <c r="AC30" s="129">
        <f t="shared" si="6"/>
        <v>3067383.23</v>
      </c>
      <c r="AD30" s="129">
        <f t="shared" si="6"/>
        <v>7698969.8399999999</v>
      </c>
      <c r="AE30" s="129">
        <f t="shared" si="6"/>
        <v>3837428.94</v>
      </c>
      <c r="AF30" s="129">
        <f t="shared" si="6"/>
        <v>1162741.5</v>
      </c>
      <c r="AG30" s="129">
        <f t="shared" si="6"/>
        <v>7078615.3899999997</v>
      </c>
      <c r="AH30" s="129">
        <f t="shared" si="6"/>
        <v>19272498</v>
      </c>
      <c r="AI30" s="129">
        <f t="shared" si="6"/>
        <v>885057.5</v>
      </c>
      <c r="AJ30" s="129">
        <f t="shared" si="6"/>
        <v>719026.05</v>
      </c>
      <c r="AK30" s="129">
        <f t="shared" si="6"/>
        <v>17180810.02</v>
      </c>
      <c r="AL30" s="129">
        <f t="shared" si="6"/>
        <v>6479125</v>
      </c>
      <c r="AM30" s="129">
        <f t="shared" si="6"/>
        <v>11423868.66</v>
      </c>
      <c r="AN30" s="129">
        <f t="shared" si="6"/>
        <v>1630726.94</v>
      </c>
      <c r="AO30" s="129">
        <f t="shared" si="6"/>
        <v>10097839.1</v>
      </c>
      <c r="AP30" s="129">
        <f t="shared" si="6"/>
        <v>5139011.8899999997</v>
      </c>
      <c r="AQ30" s="129">
        <f t="shared" si="6"/>
        <v>4438993</v>
      </c>
      <c r="AR30" s="129">
        <f t="shared" si="6"/>
        <v>9360629.9800000004</v>
      </c>
      <c r="AS30" s="129">
        <f t="shared" si="6"/>
        <v>5509464.75</v>
      </c>
      <c r="AT30" s="129">
        <f t="shared" si="6"/>
        <v>8021556.3700000001</v>
      </c>
      <c r="AU30" s="129">
        <f t="shared" si="6"/>
        <v>1892447.1</v>
      </c>
      <c r="AV30" s="129">
        <f t="shared" si="6"/>
        <v>13884615.460000001</v>
      </c>
      <c r="AW30" s="129">
        <f t="shared" si="6"/>
        <v>5721798.2999999998</v>
      </c>
      <c r="AX30" s="129">
        <f t="shared" si="6"/>
        <v>827166.2</v>
      </c>
      <c r="AY30" s="129">
        <f t="shared" si="6"/>
        <v>2006984.94</v>
      </c>
      <c r="AZ30" s="129">
        <f t="shared" si="6"/>
        <v>20555588.629999999</v>
      </c>
      <c r="BA30" s="129">
        <f t="shared" si="6"/>
        <v>1211925.51</v>
      </c>
      <c r="BB30" s="129">
        <f t="shared" si="6"/>
        <v>10224980.140000001</v>
      </c>
      <c r="BC30" s="129">
        <f t="shared" si="6"/>
        <v>206289.58000000002</v>
      </c>
      <c r="BD30" s="129">
        <f t="shared" si="6"/>
        <v>64703530.620000005</v>
      </c>
      <c r="BE30" s="129">
        <f t="shared" si="6"/>
        <v>4428056.8</v>
      </c>
      <c r="BF30" s="4">
        <f t="shared" si="0"/>
        <v>267409193.54999995</v>
      </c>
      <c r="BG30" s="4">
        <f t="shared" si="1"/>
        <v>66360232.519999996</v>
      </c>
      <c r="BH30" s="4">
        <f t="shared" si="2"/>
        <v>204945408.99000004</v>
      </c>
    </row>
    <row r="31" spans="1:60" ht="15.75" thickBot="1" x14ac:dyDescent="0.3">
      <c r="B31" s="110"/>
      <c r="D31" s="4"/>
      <c r="E31" s="151"/>
      <c r="BF31" s="4"/>
      <c r="BG31" s="4"/>
      <c r="BH31" s="4"/>
    </row>
    <row r="32" spans="1:60" ht="15.75" thickBot="1" x14ac:dyDescent="0.3">
      <c r="A32" s="7" t="s">
        <v>531</v>
      </c>
      <c r="B32" s="125"/>
      <c r="C32" s="7"/>
      <c r="D32" s="120">
        <f>D17</f>
        <v>211051448.30999997</v>
      </c>
      <c r="E32" s="144">
        <f>E17</f>
        <v>3316356.05</v>
      </c>
      <c r="F32" s="129">
        <f t="shared" ref="F32:BE32" si="7">F17</f>
        <v>708479.36</v>
      </c>
      <c r="G32" s="129">
        <f t="shared" si="7"/>
        <v>1151250.3</v>
      </c>
      <c r="H32" s="129">
        <f t="shared" si="7"/>
        <v>1031246.7000000001</v>
      </c>
      <c r="I32" s="129">
        <f t="shared" si="7"/>
        <v>7505998</v>
      </c>
      <c r="J32" s="129">
        <f t="shared" si="7"/>
        <v>9386117.5500000007</v>
      </c>
      <c r="K32" s="129">
        <f t="shared" si="7"/>
        <v>7074662.6100000003</v>
      </c>
      <c r="L32" s="129">
        <f t="shared" si="7"/>
        <v>36177201.799999997</v>
      </c>
      <c r="M32" s="129">
        <f t="shared" si="7"/>
        <v>3378882.63</v>
      </c>
      <c r="N32" s="129">
        <f t="shared" si="7"/>
        <v>0</v>
      </c>
      <c r="O32" s="129">
        <f t="shared" si="7"/>
        <v>16408899.699999999</v>
      </c>
      <c r="P32" s="129">
        <f t="shared" si="7"/>
        <v>1223857</v>
      </c>
      <c r="Q32" s="129">
        <f t="shared" si="7"/>
        <v>187655.7</v>
      </c>
      <c r="R32" s="129">
        <f t="shared" si="7"/>
        <v>989182.65</v>
      </c>
      <c r="S32" s="129">
        <f t="shared" si="7"/>
        <v>722909.15</v>
      </c>
      <c r="T32" s="129">
        <f t="shared" si="7"/>
        <v>1998942.1</v>
      </c>
      <c r="U32" s="129">
        <f t="shared" si="7"/>
        <v>596548.80000000005</v>
      </c>
      <c r="V32" s="129">
        <f t="shared" si="7"/>
        <v>1298541.25</v>
      </c>
      <c r="W32" s="129">
        <f t="shared" si="7"/>
        <v>7360026.75</v>
      </c>
      <c r="X32" s="129">
        <f t="shared" si="7"/>
        <v>848811</v>
      </c>
      <c r="Y32" s="129">
        <f t="shared" si="7"/>
        <v>3758598.17</v>
      </c>
      <c r="Z32" s="129">
        <f t="shared" si="7"/>
        <v>9516564.6999999993</v>
      </c>
      <c r="AA32" s="129">
        <f t="shared" si="7"/>
        <v>50942</v>
      </c>
      <c r="AB32" s="129">
        <f t="shared" si="7"/>
        <v>286207.2</v>
      </c>
      <c r="AC32" s="129">
        <f t="shared" si="7"/>
        <v>857901.03</v>
      </c>
      <c r="AD32" s="129">
        <f t="shared" si="7"/>
        <v>1168568.55</v>
      </c>
      <c r="AE32" s="129">
        <f t="shared" si="7"/>
        <v>1230165.25</v>
      </c>
      <c r="AF32" s="129">
        <f t="shared" si="7"/>
        <v>1252296.1499999999</v>
      </c>
      <c r="AG32" s="129">
        <f t="shared" si="7"/>
        <v>6915032.8499999996</v>
      </c>
      <c r="AH32" s="129">
        <f t="shared" si="7"/>
        <v>7675902</v>
      </c>
      <c r="AI32" s="129">
        <f t="shared" si="7"/>
        <v>521416.35</v>
      </c>
      <c r="AJ32" s="129">
        <f t="shared" si="7"/>
        <v>298886.64999999997</v>
      </c>
      <c r="AK32" s="129">
        <f t="shared" si="7"/>
        <v>5427042.9000000004</v>
      </c>
      <c r="AL32" s="129">
        <f t="shared" si="7"/>
        <v>2482113.44</v>
      </c>
      <c r="AM32" s="129">
        <f t="shared" si="7"/>
        <v>2961017.4</v>
      </c>
      <c r="AN32" s="129">
        <f t="shared" si="7"/>
        <v>334540.34999999998</v>
      </c>
      <c r="AO32" s="129">
        <f t="shared" si="7"/>
        <v>6828835.9500000002</v>
      </c>
      <c r="AP32" s="129">
        <f t="shared" si="7"/>
        <v>1931797.0799999998</v>
      </c>
      <c r="AQ32" s="129">
        <f t="shared" si="7"/>
        <v>1951760</v>
      </c>
      <c r="AR32" s="129">
        <f t="shared" si="7"/>
        <v>3322751.6</v>
      </c>
      <c r="AS32" s="129">
        <f t="shared" si="7"/>
        <v>1689242</v>
      </c>
      <c r="AT32" s="129">
        <f t="shared" si="7"/>
        <v>2391707.9500000002</v>
      </c>
      <c r="AU32" s="129">
        <f t="shared" si="7"/>
        <v>2254217.35</v>
      </c>
      <c r="AV32" s="129">
        <f t="shared" si="7"/>
        <v>5553039.5300000003</v>
      </c>
      <c r="AW32" s="129">
        <f t="shared" si="7"/>
        <v>2202056.9</v>
      </c>
      <c r="AX32" s="129">
        <f t="shared" si="7"/>
        <v>378808.9</v>
      </c>
      <c r="AY32" s="129">
        <f t="shared" si="7"/>
        <v>902646.45</v>
      </c>
      <c r="AZ32" s="129">
        <f t="shared" si="7"/>
        <v>4857539.6000000006</v>
      </c>
      <c r="BA32" s="129">
        <f t="shared" si="7"/>
        <v>984706.9</v>
      </c>
      <c r="BB32" s="129">
        <f t="shared" si="7"/>
        <v>3613483.71</v>
      </c>
      <c r="BC32" s="129">
        <f t="shared" si="7"/>
        <v>341683.35</v>
      </c>
      <c r="BD32" s="129">
        <f t="shared" si="7"/>
        <v>24686130.600000001</v>
      </c>
      <c r="BE32" s="129">
        <f t="shared" si="7"/>
        <v>1058276.3500000001</v>
      </c>
      <c r="BF32" s="4">
        <f t="shared" si="0"/>
        <v>100516758.10000001</v>
      </c>
      <c r="BG32" s="4">
        <f t="shared" si="1"/>
        <v>34381291.899999999</v>
      </c>
      <c r="BH32" s="4">
        <f t="shared" si="2"/>
        <v>76153398.310000002</v>
      </c>
    </row>
    <row r="33" spans="1:60" ht="15.75" thickBot="1" x14ac:dyDescent="0.3">
      <c r="B33" s="110"/>
      <c r="D33" s="4"/>
      <c r="E33" s="151"/>
      <c r="BF33" s="4"/>
      <c r="BG33" s="4"/>
      <c r="BH33" s="4"/>
    </row>
    <row r="34" spans="1:60" ht="15.75" thickBot="1" x14ac:dyDescent="0.3">
      <c r="A34" s="7" t="s">
        <v>536</v>
      </c>
      <c r="B34" s="125"/>
      <c r="C34" s="7"/>
      <c r="D34" s="120">
        <f>IF(D32&lt;&gt;0,D30/D32,"")*100</f>
        <v>255.25284918619286</v>
      </c>
      <c r="E34" s="144">
        <f>IF(E32&lt;&gt;0,E30/E32,"")*100</f>
        <v>222.00231094004522</v>
      </c>
      <c r="F34" s="129">
        <f t="shared" ref="F34:BH34" si="8">IF(F32&lt;&gt;0,F30/F32,"")*100</f>
        <v>239.11209636368235</v>
      </c>
      <c r="G34" s="129">
        <f t="shared" si="8"/>
        <v>485.98382992820933</v>
      </c>
      <c r="H34" s="129">
        <f t="shared" si="8"/>
        <v>419.48775690627667</v>
      </c>
      <c r="I34" s="129">
        <f t="shared" si="8"/>
        <v>305.26757401214337</v>
      </c>
      <c r="J34" s="129">
        <f t="shared" si="8"/>
        <v>222.03169083472639</v>
      </c>
      <c r="K34" s="129">
        <f t="shared" si="8"/>
        <v>96.362060861585036</v>
      </c>
      <c r="L34" s="129">
        <f t="shared" si="8"/>
        <v>329.5567878055179</v>
      </c>
      <c r="M34" s="129">
        <f t="shared" si="8"/>
        <v>167.34657871202828</v>
      </c>
      <c r="N34" s="129" t="e">
        <f t="shared" si="8"/>
        <v>#VALUE!</v>
      </c>
      <c r="O34" s="129">
        <f t="shared" si="8"/>
        <v>231.80936233037005</v>
      </c>
      <c r="P34" s="129">
        <f t="shared" si="8"/>
        <v>257.63861219080337</v>
      </c>
      <c r="Q34" s="129">
        <f t="shared" si="8"/>
        <v>285.83957215261779</v>
      </c>
      <c r="R34" s="129">
        <f t="shared" si="8"/>
        <v>334.97662539875728</v>
      </c>
      <c r="S34" s="129">
        <f t="shared" si="8"/>
        <v>581.64660524769954</v>
      </c>
      <c r="T34" s="129">
        <f t="shared" si="8"/>
        <v>275.41460905746095</v>
      </c>
      <c r="U34" s="129">
        <f t="shared" si="8"/>
        <v>109.58373732375289</v>
      </c>
      <c r="V34" s="129">
        <f t="shared" si="8"/>
        <v>211.38321866941078</v>
      </c>
      <c r="W34" s="129">
        <f t="shared" si="8"/>
        <v>201.53482621513569</v>
      </c>
      <c r="X34" s="129">
        <f t="shared" si="8"/>
        <v>66.882497988362545</v>
      </c>
      <c r="Y34" s="129">
        <f t="shared" si="8"/>
        <v>321.31633746844506</v>
      </c>
      <c r="Z34" s="129">
        <f t="shared" si="8"/>
        <v>85.306255102747315</v>
      </c>
      <c r="AA34" s="129">
        <f t="shared" si="8"/>
        <v>1264.4713595854109</v>
      </c>
      <c r="AB34" s="129">
        <f t="shared" si="8"/>
        <v>430.2631555041242</v>
      </c>
      <c r="AC34" s="129">
        <f t="shared" si="8"/>
        <v>357.5451156644491</v>
      </c>
      <c r="AD34" s="129">
        <f t="shared" si="8"/>
        <v>658.83767280918175</v>
      </c>
      <c r="AE34" s="129">
        <f t="shared" si="8"/>
        <v>311.94418310873277</v>
      </c>
      <c r="AF34" s="129">
        <f t="shared" si="8"/>
        <v>92.848764247977613</v>
      </c>
      <c r="AG34" s="129">
        <f t="shared" si="8"/>
        <v>102.36560756179199</v>
      </c>
      <c r="AH34" s="129">
        <f t="shared" si="8"/>
        <v>251.07795800415377</v>
      </c>
      <c r="AI34" s="129">
        <f t="shared" si="8"/>
        <v>169.74103324531347</v>
      </c>
      <c r="AJ34" s="129">
        <f t="shared" si="8"/>
        <v>240.56813845650186</v>
      </c>
      <c r="AK34" s="129">
        <f t="shared" si="8"/>
        <v>316.57774476041084</v>
      </c>
      <c r="AL34" s="129">
        <f t="shared" si="8"/>
        <v>261.03259003343538</v>
      </c>
      <c r="AM34" s="129">
        <f t="shared" si="8"/>
        <v>385.80890000849035</v>
      </c>
      <c r="AN34" s="129">
        <f t="shared" si="8"/>
        <v>487.4529903492957</v>
      </c>
      <c r="AO34" s="129">
        <f t="shared" si="8"/>
        <v>147.87057668298502</v>
      </c>
      <c r="AP34" s="129">
        <f t="shared" si="8"/>
        <v>266.02234485207941</v>
      </c>
      <c r="AQ34" s="129">
        <f t="shared" si="8"/>
        <v>227.43539164651389</v>
      </c>
      <c r="AR34" s="129">
        <f t="shared" si="8"/>
        <v>281.71320359908935</v>
      </c>
      <c r="AS34" s="129">
        <f t="shared" si="8"/>
        <v>326.15011644275955</v>
      </c>
      <c r="AT34" s="129">
        <f t="shared" si="8"/>
        <v>335.39029587621678</v>
      </c>
      <c r="AU34" s="129">
        <f t="shared" si="8"/>
        <v>83.95140335513787</v>
      </c>
      <c r="AV34" s="129">
        <f t="shared" si="8"/>
        <v>250.0363158769014</v>
      </c>
      <c r="AW34" s="129">
        <f t="shared" si="8"/>
        <v>259.83880343873039</v>
      </c>
      <c r="AX34" s="129">
        <f t="shared" si="8"/>
        <v>218.3597587068308</v>
      </c>
      <c r="AY34" s="129">
        <f t="shared" si="8"/>
        <v>222.34452259796734</v>
      </c>
      <c r="AZ34" s="129">
        <f t="shared" si="8"/>
        <v>423.16872990597949</v>
      </c>
      <c r="BA34" s="129">
        <f t="shared" si="8"/>
        <v>123.07474538870397</v>
      </c>
      <c r="BB34" s="129">
        <f t="shared" si="8"/>
        <v>282.9673788677465</v>
      </c>
      <c r="BC34" s="129">
        <f t="shared" si="8"/>
        <v>60.374490006609925</v>
      </c>
      <c r="BD34" s="129">
        <f t="shared" si="8"/>
        <v>262.10478939943715</v>
      </c>
      <c r="BE34" s="129">
        <f t="shared" si="8"/>
        <v>418.42159658958639</v>
      </c>
      <c r="BF34" s="129">
        <f t="shared" si="8"/>
        <v>266.03443903748416</v>
      </c>
      <c r="BG34" s="129">
        <f t="shared" si="8"/>
        <v>193.0126206804928</v>
      </c>
      <c r="BH34" s="129">
        <f t="shared" si="8"/>
        <v>269.12181667287177</v>
      </c>
    </row>
    <row r="35" spans="1:60" x14ac:dyDescent="0.25">
      <c r="A35" s="123" t="s">
        <v>537</v>
      </c>
      <c r="B35" s="110"/>
      <c r="D35" s="4"/>
    </row>
    <row r="36" spans="1:60" x14ac:dyDescent="0.25">
      <c r="B36" s="110"/>
      <c r="D36" s="4"/>
    </row>
    <row r="37" spans="1:60" x14ac:dyDescent="0.25">
      <c r="D37"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538</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539</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540</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541</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542</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543</v>
      </c>
      <c r="B24" s="64"/>
      <c r="C24" s="7"/>
      <c r="D24" s="127">
        <f>SUM(D14:D15,D17,D19)-SUM(D16,D18,D20:D22)+D12</f>
        <v>320772895.75999999</v>
      </c>
      <c r="E24" s="144">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544</v>
      </c>
      <c r="B26" s="121"/>
      <c r="D26" s="120">
        <f>IF(D24&lt;&gt;0,D12/D24,"")*100</f>
        <v>11.443409394995824</v>
      </c>
      <c r="E26" s="144">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545</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546</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547</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541</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548</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549</v>
      </c>
      <c r="B39" s="64"/>
      <c r="C39" s="7"/>
      <c r="D39" s="120">
        <f>SUM(D32,D34:D37)-D33</f>
        <v>20535541.960000005</v>
      </c>
      <c r="E39" s="144">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531</v>
      </c>
      <c r="B41" s="64"/>
      <c r="C41" s="7"/>
      <c r="D41" s="141">
        <f>'7,4 Dettes brut sur revenus'!D17</f>
        <v>211051448.30999997</v>
      </c>
      <c r="E41" s="4">
        <f>'7,4 Dettes brut sur revenus'!E17</f>
        <v>3316356.05</v>
      </c>
      <c r="F41" s="4">
        <f>'7,4 Dettes brut sur revenus'!F17</f>
        <v>708479.36</v>
      </c>
      <c r="G41" s="4">
        <f>'7,4 Dettes brut sur revenus'!G17</f>
        <v>1151250.3</v>
      </c>
      <c r="H41" s="4">
        <f>'7,4 Dettes brut sur revenus'!H17</f>
        <v>1031246.7000000001</v>
      </c>
      <c r="I41" s="4">
        <f>'7,4 Dettes brut sur revenus'!I17</f>
        <v>7505998</v>
      </c>
      <c r="J41" s="4">
        <f>'7,4 Dettes brut sur revenus'!J17</f>
        <v>9386117.5500000007</v>
      </c>
      <c r="K41" s="4">
        <f>'7,4 Dettes brut sur revenus'!K17</f>
        <v>7074662.6100000003</v>
      </c>
      <c r="L41" s="4">
        <f>'7,4 Dettes brut sur revenus'!L17</f>
        <v>36177201.799999997</v>
      </c>
      <c r="M41" s="4">
        <f>'7,4 Dettes brut sur revenus'!M17</f>
        <v>3378882.63</v>
      </c>
      <c r="N41" s="4">
        <f>'7,4 Dettes brut sur revenus'!N17</f>
        <v>0</v>
      </c>
      <c r="O41" s="4">
        <f>'7,4 Dettes brut sur revenus'!O17</f>
        <v>16408899.699999999</v>
      </c>
      <c r="P41" s="4">
        <f>'7,4 Dettes brut sur revenus'!P17</f>
        <v>1223857</v>
      </c>
      <c r="Q41" s="4">
        <f>'7,4 Dettes brut sur revenus'!Q17</f>
        <v>187655.7</v>
      </c>
      <c r="R41" s="4">
        <f>'7,4 Dettes brut sur revenus'!R17</f>
        <v>989182.65</v>
      </c>
      <c r="S41" s="4">
        <f>'7,4 Dettes brut sur revenus'!S17</f>
        <v>722909.15</v>
      </c>
      <c r="T41" s="4">
        <f>'7,4 Dettes brut sur revenus'!T17</f>
        <v>1998942.1</v>
      </c>
      <c r="U41" s="4">
        <f>'7,4 Dettes brut sur revenus'!U17</f>
        <v>596548.80000000005</v>
      </c>
      <c r="V41" s="4">
        <f>'7,4 Dettes brut sur revenus'!V17</f>
        <v>1298541.25</v>
      </c>
      <c r="W41" s="4">
        <f>'7,4 Dettes brut sur revenus'!W17</f>
        <v>7360026.75</v>
      </c>
      <c r="X41" s="4">
        <f>'7,4 Dettes brut sur revenus'!X17</f>
        <v>848811</v>
      </c>
      <c r="Y41" s="4">
        <f>'7,4 Dettes brut sur revenus'!Y17</f>
        <v>3758598.17</v>
      </c>
      <c r="Z41" s="4">
        <f>'7,4 Dettes brut sur revenus'!Z17</f>
        <v>9516564.6999999993</v>
      </c>
      <c r="AA41" s="4">
        <f>'7,4 Dettes brut sur revenus'!AA17</f>
        <v>50942</v>
      </c>
      <c r="AB41" s="4">
        <f>'7,4 Dettes brut sur revenus'!AB17</f>
        <v>286207.2</v>
      </c>
      <c r="AC41" s="4">
        <f>'7,4 Dettes brut sur revenus'!AC17</f>
        <v>857901.03</v>
      </c>
      <c r="AD41" s="4">
        <f>'7,4 Dettes brut sur revenus'!AD17</f>
        <v>1168568.55</v>
      </c>
      <c r="AE41" s="4">
        <f>'7,4 Dettes brut sur revenus'!AE17</f>
        <v>1230165.25</v>
      </c>
      <c r="AF41" s="4">
        <f>'7,4 Dettes brut sur revenus'!AF17</f>
        <v>1252296.1499999999</v>
      </c>
      <c r="AG41" s="4">
        <f>'7,4 Dettes brut sur revenus'!AG17</f>
        <v>6915032.8499999996</v>
      </c>
      <c r="AH41" s="4">
        <f>'7,4 Dettes brut sur revenus'!AH17</f>
        <v>7675902</v>
      </c>
      <c r="AI41" s="4">
        <f>'7,4 Dettes brut sur revenus'!AI17</f>
        <v>521416.35</v>
      </c>
      <c r="AJ41" s="4">
        <f>'7,4 Dettes brut sur revenus'!AJ17</f>
        <v>298886.64999999997</v>
      </c>
      <c r="AK41" s="4">
        <f>'7,4 Dettes brut sur revenus'!AK17</f>
        <v>5427042.9000000004</v>
      </c>
      <c r="AL41" s="4">
        <f>'7,4 Dettes brut sur revenus'!AL17</f>
        <v>2482113.44</v>
      </c>
      <c r="AM41" s="4">
        <f>'7,4 Dettes brut sur revenus'!AM17</f>
        <v>2961017.4</v>
      </c>
      <c r="AN41" s="4">
        <f>'7,4 Dettes brut sur revenus'!AN17</f>
        <v>334540.34999999998</v>
      </c>
      <c r="AO41" s="4">
        <f>'7,4 Dettes brut sur revenus'!AO17</f>
        <v>6828835.9500000002</v>
      </c>
      <c r="AP41" s="4">
        <f>'7,4 Dettes brut sur revenus'!AP17</f>
        <v>1931797.0799999998</v>
      </c>
      <c r="AQ41" s="4">
        <f>'7,4 Dettes brut sur revenus'!AQ17</f>
        <v>1951760</v>
      </c>
      <c r="AR41" s="4">
        <f>'7,4 Dettes brut sur revenus'!AR17</f>
        <v>3322751.6</v>
      </c>
      <c r="AS41" s="4">
        <f>'7,4 Dettes brut sur revenus'!AS17</f>
        <v>1689242</v>
      </c>
      <c r="AT41" s="4">
        <f>'7,4 Dettes brut sur revenus'!AT17</f>
        <v>2391707.9500000002</v>
      </c>
      <c r="AU41" s="4">
        <f>'7,4 Dettes brut sur revenus'!AU17</f>
        <v>2254217.35</v>
      </c>
      <c r="AV41" s="4">
        <f>'7,4 Dettes brut sur revenus'!AV17</f>
        <v>5553039.5300000003</v>
      </c>
      <c r="AW41" s="4">
        <f>'7,4 Dettes brut sur revenus'!AW17</f>
        <v>2202056.9</v>
      </c>
      <c r="AX41" s="4">
        <f>'7,4 Dettes brut sur revenus'!AX17</f>
        <v>378808.9</v>
      </c>
      <c r="AY41" s="4">
        <f>'7,4 Dettes brut sur revenus'!AY17</f>
        <v>902646.45</v>
      </c>
      <c r="AZ41" s="4">
        <f>'7,4 Dettes brut sur revenus'!AZ17</f>
        <v>4857539.6000000006</v>
      </c>
      <c r="BA41" s="4">
        <f>'7,4 Dettes brut sur revenus'!BA17</f>
        <v>984706.9</v>
      </c>
      <c r="BB41" s="4">
        <f>'7,4 Dettes brut sur revenus'!BB17</f>
        <v>3613483.71</v>
      </c>
      <c r="BC41" s="4">
        <f>'7,4 Dettes brut sur revenus'!BC17</f>
        <v>341683.35</v>
      </c>
      <c r="BD41" s="4">
        <f>'7,4 Dettes brut sur revenus'!BD17</f>
        <v>24686130.600000001</v>
      </c>
      <c r="BE41" s="4">
        <f>'7,4 Dettes brut sur revenus'!BE17</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550</v>
      </c>
      <c r="B43" s="121"/>
      <c r="D43" s="120">
        <f>IF(D41&lt;&gt;0,D39/D41,"")*100</f>
        <v>9.7301118397617721</v>
      </c>
      <c r="E43" s="144">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551</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552</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553</v>
      </c>
      <c r="B17" s="121"/>
      <c r="D17" s="142">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554</v>
      </c>
      <c r="B19" s="121"/>
      <c r="D19" s="120">
        <f>IF(D17="","",D15/D17)</f>
        <v>3363.7745611797686</v>
      </c>
      <c r="E19" s="144">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555</v>
      </c>
      <c r="B20" s="121"/>
      <c r="D20" s="4"/>
      <c r="BF20" s="4"/>
      <c r="BG20" s="4"/>
      <c r="BH20" s="4"/>
    </row>
    <row r="21" spans="1:60" x14ac:dyDescent="0.25">
      <c r="A21" s="123"/>
      <c r="B21" s="121"/>
      <c r="D21" s="4"/>
      <c r="BF21" s="4"/>
      <c r="BG21" s="4"/>
      <c r="BH21" s="4"/>
    </row>
    <row r="22" spans="1:60" x14ac:dyDescent="0.25">
      <c r="A22" s="7" t="s">
        <v>556</v>
      </c>
      <c r="B22" s="110"/>
      <c r="C22" s="65" t="s">
        <v>507</v>
      </c>
      <c r="D22" s="128" t="s">
        <v>508</v>
      </c>
      <c r="BF22" s="4"/>
      <c r="BG22" s="4"/>
      <c r="BH22" s="4"/>
    </row>
    <row r="23" spans="1:60" ht="15.75" thickBot="1" x14ac:dyDescent="0.3">
      <c r="B23" s="110"/>
      <c r="D23" s="4"/>
      <c r="BF23" s="4"/>
      <c r="BG23" s="4"/>
      <c r="BH23" s="4"/>
    </row>
    <row r="24" spans="1:60" ht="15.75" thickBot="1" x14ac:dyDescent="0.3">
      <c r="A24" s="7" t="s">
        <v>557</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531</v>
      </c>
      <c r="D26" s="120">
        <f>'7,4 Dettes brut sur revenus'!D17</f>
        <v>211051448.30999997</v>
      </c>
      <c r="E26" s="4">
        <f>'7,4 Dettes brut sur revenus'!E17</f>
        <v>3316356.05</v>
      </c>
      <c r="F26" s="4">
        <f>'7,4 Dettes brut sur revenus'!F17</f>
        <v>708479.36</v>
      </c>
      <c r="G26" s="4">
        <f>'7,4 Dettes brut sur revenus'!G17</f>
        <v>1151250.3</v>
      </c>
      <c r="H26" s="4">
        <f>'7,4 Dettes brut sur revenus'!H17</f>
        <v>1031246.7000000001</v>
      </c>
      <c r="I26" s="4">
        <f>'7,4 Dettes brut sur revenus'!I17</f>
        <v>7505998</v>
      </c>
      <c r="J26" s="4">
        <f>'7,4 Dettes brut sur revenus'!J17</f>
        <v>9386117.5500000007</v>
      </c>
      <c r="K26" s="4">
        <f>'7,4 Dettes brut sur revenus'!K17</f>
        <v>7074662.6100000003</v>
      </c>
      <c r="L26" s="4">
        <f>'7,4 Dettes brut sur revenus'!L17</f>
        <v>36177201.799999997</v>
      </c>
      <c r="M26" s="4">
        <f>'7,4 Dettes brut sur revenus'!M17</f>
        <v>3378882.63</v>
      </c>
      <c r="N26" s="4">
        <f>'7,4 Dettes brut sur revenus'!N17</f>
        <v>0</v>
      </c>
      <c r="O26" s="4">
        <f>'7,4 Dettes brut sur revenus'!O17</f>
        <v>16408899.699999999</v>
      </c>
      <c r="P26" s="4">
        <f>'7,4 Dettes brut sur revenus'!P17</f>
        <v>1223857</v>
      </c>
      <c r="Q26" s="4">
        <f>'7,4 Dettes brut sur revenus'!Q17</f>
        <v>187655.7</v>
      </c>
      <c r="R26" s="4">
        <f>'7,4 Dettes brut sur revenus'!R17</f>
        <v>989182.65</v>
      </c>
      <c r="S26" s="4">
        <f>'7,4 Dettes brut sur revenus'!S17</f>
        <v>722909.15</v>
      </c>
      <c r="T26" s="4">
        <f>'7,4 Dettes brut sur revenus'!T17</f>
        <v>1998942.1</v>
      </c>
      <c r="U26" s="4">
        <f>'7,4 Dettes brut sur revenus'!U17</f>
        <v>596548.80000000005</v>
      </c>
      <c r="V26" s="4">
        <f>'7,4 Dettes brut sur revenus'!V17</f>
        <v>1298541.25</v>
      </c>
      <c r="W26" s="4">
        <f>'7,4 Dettes brut sur revenus'!W17</f>
        <v>7360026.75</v>
      </c>
      <c r="X26" s="4">
        <f>'7,4 Dettes brut sur revenus'!X17</f>
        <v>848811</v>
      </c>
      <c r="Y26" s="4">
        <f>'7,4 Dettes brut sur revenus'!Y17</f>
        <v>3758598.17</v>
      </c>
      <c r="Z26" s="4">
        <f>'7,4 Dettes brut sur revenus'!Z17</f>
        <v>9516564.6999999993</v>
      </c>
      <c r="AA26" s="4">
        <f>'7,4 Dettes brut sur revenus'!AA17</f>
        <v>50942</v>
      </c>
      <c r="AB26" s="4">
        <f>'7,4 Dettes brut sur revenus'!AB17</f>
        <v>286207.2</v>
      </c>
      <c r="AC26" s="4">
        <f>'7,4 Dettes brut sur revenus'!AC17</f>
        <v>857901.03</v>
      </c>
      <c r="AD26" s="4">
        <f>'7,4 Dettes brut sur revenus'!AD17</f>
        <v>1168568.55</v>
      </c>
      <c r="AE26" s="4">
        <f>'7,4 Dettes brut sur revenus'!AE17</f>
        <v>1230165.25</v>
      </c>
      <c r="AF26" s="4">
        <f>'7,4 Dettes brut sur revenus'!AF17</f>
        <v>1252296.1499999999</v>
      </c>
      <c r="AG26" s="4">
        <f>'7,4 Dettes brut sur revenus'!AG17</f>
        <v>6915032.8499999996</v>
      </c>
      <c r="AH26" s="4">
        <f>'7,4 Dettes brut sur revenus'!AH17</f>
        <v>7675902</v>
      </c>
      <c r="AI26" s="4">
        <f>'7,4 Dettes brut sur revenus'!AI17</f>
        <v>521416.35</v>
      </c>
      <c r="AJ26" s="4">
        <f>'7,4 Dettes brut sur revenus'!AJ17</f>
        <v>298886.64999999997</v>
      </c>
      <c r="AK26" s="4">
        <f>'7,4 Dettes brut sur revenus'!AK17</f>
        <v>5427042.9000000004</v>
      </c>
      <c r="AL26" s="4">
        <f>'7,4 Dettes brut sur revenus'!AL17</f>
        <v>2482113.44</v>
      </c>
      <c r="AM26" s="4">
        <f>'7,4 Dettes brut sur revenus'!AM17</f>
        <v>2961017.4</v>
      </c>
      <c r="AN26" s="4">
        <f>'7,4 Dettes brut sur revenus'!AN17</f>
        <v>334540.34999999998</v>
      </c>
      <c r="AO26" s="4">
        <f>'7,4 Dettes brut sur revenus'!AO17</f>
        <v>6828835.9500000002</v>
      </c>
      <c r="AP26" s="4">
        <f>'7,4 Dettes brut sur revenus'!AP17</f>
        <v>1931797.0799999998</v>
      </c>
      <c r="AQ26" s="4">
        <f>'7,4 Dettes brut sur revenus'!AQ17</f>
        <v>1951760</v>
      </c>
      <c r="AR26" s="4">
        <f>'7,4 Dettes brut sur revenus'!AR17</f>
        <v>3322751.6</v>
      </c>
      <c r="AS26" s="4">
        <f>'7,4 Dettes brut sur revenus'!AS17</f>
        <v>1689242</v>
      </c>
      <c r="AT26" s="4">
        <f>'7,4 Dettes brut sur revenus'!AT17</f>
        <v>2391707.9500000002</v>
      </c>
      <c r="AU26" s="4">
        <f>'7,4 Dettes brut sur revenus'!AU17</f>
        <v>2254217.35</v>
      </c>
      <c r="AV26" s="4">
        <f>'7,4 Dettes brut sur revenus'!AV17</f>
        <v>5553039.5300000003</v>
      </c>
      <c r="AW26" s="4">
        <f>'7,4 Dettes brut sur revenus'!AW17</f>
        <v>2202056.9</v>
      </c>
      <c r="AX26" s="4">
        <f>'7,4 Dettes brut sur revenus'!AX17</f>
        <v>378808.9</v>
      </c>
      <c r="AY26" s="4">
        <f>'7,4 Dettes brut sur revenus'!AY17</f>
        <v>902646.45</v>
      </c>
      <c r="AZ26" s="4">
        <f>'7,4 Dettes brut sur revenus'!AZ17</f>
        <v>4857539.6000000006</v>
      </c>
      <c r="BA26" s="4">
        <f>'7,4 Dettes brut sur revenus'!BA17</f>
        <v>984706.9</v>
      </c>
      <c r="BB26" s="4">
        <f>'7,4 Dettes brut sur revenus'!BB17</f>
        <v>3613483.71</v>
      </c>
      <c r="BC26" s="4">
        <f>'7,4 Dettes brut sur revenus'!BC17</f>
        <v>341683.35</v>
      </c>
      <c r="BD26" s="4">
        <f>'7,4 Dettes brut sur revenus'!BD17</f>
        <v>24686130.600000001</v>
      </c>
      <c r="BE26" s="4">
        <f>'7,4 Dettes brut sur revenus'!BE17</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558</v>
      </c>
      <c r="D28" s="120">
        <f>IF(D26&lt;&gt;0,D24/D26,"")*100</f>
        <v>10.654101135080721</v>
      </c>
      <c r="E28" s="144">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559</v>
      </c>
      <c r="D29" s="126"/>
      <c r="BF29" s="4"/>
      <c r="BG29" s="4"/>
      <c r="BH29" s="4"/>
    </row>
    <row r="30" spans="1:60" x14ac:dyDescent="0.25">
      <c r="D30" s="4"/>
      <c r="BF30" s="4"/>
      <c r="BG30" s="4"/>
      <c r="BH30" s="4"/>
    </row>
    <row r="31" spans="1:60" x14ac:dyDescent="0.25">
      <c r="A31" s="7" t="s">
        <v>560</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561</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562</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563</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564</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565</v>
      </c>
      <c r="B40" s="64"/>
      <c r="C40" s="7"/>
      <c r="D40" s="120">
        <f>D33-D34-D35-D36-D37-D38</f>
        <v>-1086366.6300000004</v>
      </c>
      <c r="E40" s="144">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566</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567</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568</v>
      </c>
      <c r="B46" s="64"/>
      <c r="C46" s="7"/>
      <c r="D46" s="120">
        <f>SUM(D42:D44)</f>
        <v>217329946.66999999</v>
      </c>
      <c r="E46" s="144">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569</v>
      </c>
      <c r="B48" s="121"/>
      <c r="D48" s="120">
        <f>IF(D46&lt;&gt;0,D40/D46,"")*100</f>
        <v>-0.49986973569250925</v>
      </c>
      <c r="E48" s="144">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570</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571</v>
      </c>
      <c r="B10" s="110"/>
      <c r="C10" s="65" t="s">
        <v>507</v>
      </c>
      <c r="D10" s="65" t="s">
        <v>508</v>
      </c>
      <c r="E10" s="146">
        <f>'4.1 Comptes 2020 natures'!E2</f>
        <v>923</v>
      </c>
      <c r="F10" s="146">
        <f>'4.1 Comptes 2020 natures'!F2</f>
        <v>270</v>
      </c>
      <c r="G10" s="146">
        <f>'4.1 Comptes 2020 natures'!G2</f>
        <v>485</v>
      </c>
      <c r="H10" s="146">
        <f>'4.1 Comptes 2020 natures'!H2</f>
        <v>446</v>
      </c>
      <c r="I10" s="146">
        <f>'4.1 Comptes 2020 natures'!I2</f>
        <v>3631</v>
      </c>
      <c r="J10" s="146">
        <f>'4.1 Comptes 2020 natures'!J2</f>
        <v>3313</v>
      </c>
      <c r="K10" s="146">
        <f>'4.1 Comptes 2020 natures'!K2</f>
        <v>2644</v>
      </c>
      <c r="L10" s="147">
        <f>'4.1 Comptes 2020 natures'!L2</f>
        <v>12618</v>
      </c>
      <c r="M10" s="147">
        <f>'4.1 Comptes 2020 natures'!M2</f>
        <v>1371</v>
      </c>
      <c r="N10" s="147">
        <f>'4.1 Comptes 2020 natures'!N2</f>
        <v>118</v>
      </c>
      <c r="O10" s="147">
        <f>'4.1 Comptes 2020 natures'!O2</f>
        <v>7167</v>
      </c>
      <c r="P10" s="147">
        <f>'4.1 Comptes 2020 natures'!P2</f>
        <v>528</v>
      </c>
      <c r="Q10" s="147">
        <f>'4.1 Comptes 2020 natures'!Q2</f>
        <v>108</v>
      </c>
      <c r="R10" s="147">
        <f>'4.1 Comptes 2020 natures'!R2</f>
        <v>415</v>
      </c>
      <c r="S10" s="147">
        <f>'4.1 Comptes 2020 natures'!S2</f>
        <v>349</v>
      </c>
      <c r="T10" s="147">
        <f>'4.1 Comptes 2020 natures'!T2</f>
        <v>687</v>
      </c>
      <c r="U10" s="147">
        <f>'4.1 Comptes 2020 natures'!U2</f>
        <v>255</v>
      </c>
      <c r="V10" s="147">
        <f>'4.1 Comptes 2020 natures'!V2</f>
        <v>436</v>
      </c>
      <c r="W10" s="147">
        <f>'4.1 Comptes 2020 natures'!W2</f>
        <v>3190</v>
      </c>
      <c r="X10" s="148">
        <f>'4.1 Comptes 2020 natures'!X2</f>
        <v>324</v>
      </c>
      <c r="Y10" s="148">
        <f>'4.1 Comptes 2020 natures'!Y2</f>
        <v>1246</v>
      </c>
      <c r="Z10" s="148">
        <f>'4.1 Comptes 2020 natures'!Z2</f>
        <v>1528</v>
      </c>
      <c r="AA10" s="148">
        <f>'4.1 Comptes 2020 natures'!AA2</f>
        <v>96</v>
      </c>
      <c r="AB10" s="148">
        <f>'4.1 Comptes 2020 natures'!AB2</f>
        <v>149</v>
      </c>
      <c r="AC10" s="148">
        <f>'4.1 Comptes 2020 natures'!AC2</f>
        <v>516</v>
      </c>
      <c r="AD10" s="148">
        <f>'4.1 Comptes 2020 natures'!AD2</f>
        <v>671</v>
      </c>
      <c r="AE10" s="148">
        <f>'4.1 Comptes 2020 natures'!AE2</f>
        <v>572</v>
      </c>
      <c r="AF10" s="148">
        <f>'4.1 Comptes 2020 natures'!AF2</f>
        <v>490</v>
      </c>
      <c r="AG10" s="148">
        <f>'4.1 Comptes 2020 natures'!AG2</f>
        <v>1914</v>
      </c>
      <c r="AH10" s="148">
        <f>'4.1 Comptes 2020 natures'!AH2</f>
        <v>2615</v>
      </c>
      <c r="AI10" s="148">
        <f>'4.1 Comptes 2020 natures'!AI2</f>
        <v>227</v>
      </c>
      <c r="AJ10" s="148">
        <f>'4.1 Comptes 2020 natures'!AJ2</f>
        <v>131</v>
      </c>
      <c r="AK10" s="149">
        <f>'4.1 Comptes 2020 natures'!AK2</f>
        <v>1895</v>
      </c>
      <c r="AL10" s="149">
        <f>'4.1 Comptes 2020 natures'!AL2</f>
        <v>1135</v>
      </c>
      <c r="AM10" s="149">
        <f>'4.1 Comptes 2020 natures'!AM2</f>
        <v>1241</v>
      </c>
      <c r="AN10" s="149">
        <f>'4.1 Comptes 2020 natures'!AN2</f>
        <v>119</v>
      </c>
      <c r="AO10" s="149">
        <f>'4.1 Comptes 2020 natures'!AO2</f>
        <v>1195</v>
      </c>
      <c r="AP10" s="149">
        <f>'4.1 Comptes 2020 natures'!AP2</f>
        <v>663</v>
      </c>
      <c r="AQ10" s="149">
        <f>'4.1 Comptes 2020 natures'!AQ2</f>
        <v>645</v>
      </c>
      <c r="AR10" s="149">
        <f>'4.1 Comptes 2020 natures'!AR2</f>
        <v>1263</v>
      </c>
      <c r="AS10" s="149">
        <f>'4.1 Comptes 2020 natures'!AS2</f>
        <v>740</v>
      </c>
      <c r="AT10" s="149">
        <f>'4.1 Comptes 2020 natures'!AT2</f>
        <v>1028</v>
      </c>
      <c r="AU10" s="149">
        <f>'4.1 Comptes 2020 natures'!AU2</f>
        <v>314</v>
      </c>
      <c r="AV10" s="149">
        <f>'4.1 Comptes 2020 natures'!AV2</f>
        <v>2400</v>
      </c>
      <c r="AW10" s="149">
        <f>'4.1 Comptes 2020 natures'!AW2</f>
        <v>755</v>
      </c>
      <c r="AX10" s="149">
        <f>'4.1 Comptes 2020 natures'!AX2</f>
        <v>181</v>
      </c>
      <c r="AY10" s="149">
        <f>'4.1 Comptes 2020 natures'!AY2</f>
        <v>347</v>
      </c>
      <c r="AZ10" s="149">
        <f>'4.1 Comptes 2020 natures'!AZ2</f>
        <v>1690</v>
      </c>
      <c r="BA10" s="149">
        <f>'4.1 Comptes 2020 natures'!BA2</f>
        <v>387</v>
      </c>
      <c r="BB10" s="149">
        <f>'4.1 Comptes 2020 natures'!BB2</f>
        <v>1096</v>
      </c>
      <c r="BC10" s="150">
        <f>'4.1 Comptes 2020 natures'!BC2</f>
        <v>188</v>
      </c>
      <c r="BD10" s="150">
        <f>'4.1 Comptes 2020 natures'!BD2</f>
        <v>6434</v>
      </c>
      <c r="BE10" s="149">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572</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573</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574</v>
      </c>
      <c r="B18" s="121"/>
      <c r="D18" s="120">
        <f>IF(D16&lt;&gt;0,D14/D16,"")*100</f>
        <v>39.390565472842447</v>
      </c>
      <c r="E18" s="144">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575</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765</v>
      </c>
    </row>
    <row r="8" spans="1:60" ht="18.75" x14ac:dyDescent="0.3">
      <c r="A8" s="220" t="s">
        <v>505</v>
      </c>
      <c r="B8" s="220"/>
      <c r="C8" s="220"/>
      <c r="D8" s="220"/>
    </row>
    <row r="9" spans="1:60" ht="15.75" thickBot="1" x14ac:dyDescent="0.3"/>
    <row r="10" spans="1:60" ht="15.75" thickBot="1" x14ac:dyDescent="0.3">
      <c r="A10" s="221" t="s">
        <v>576</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6">
        <f>'4.1 Comptes 2020 natures'!E2</f>
        <v>923</v>
      </c>
      <c r="F11" s="146">
        <f>'4.1 Comptes 2020 natures'!F2</f>
        <v>270</v>
      </c>
      <c r="G11" s="146">
        <f>'4.1 Comptes 2020 natures'!G2</f>
        <v>485</v>
      </c>
      <c r="H11" s="146">
        <f>'4.1 Comptes 2020 natures'!H2</f>
        <v>446</v>
      </c>
      <c r="I11" s="146">
        <f>'4.1 Comptes 2020 natures'!I2</f>
        <v>3631</v>
      </c>
      <c r="J11" s="146">
        <f>'4.1 Comptes 2020 natures'!J2</f>
        <v>3313</v>
      </c>
      <c r="K11" s="146">
        <f>'4.1 Comptes 2020 natures'!K2</f>
        <v>2644</v>
      </c>
      <c r="L11" s="147">
        <f>'4.1 Comptes 2020 natures'!L2</f>
        <v>12618</v>
      </c>
      <c r="M11" s="147">
        <f>'4.1 Comptes 2020 natures'!M2</f>
        <v>1371</v>
      </c>
      <c r="N11" s="147">
        <f>'4.1 Comptes 2020 natures'!N2</f>
        <v>118</v>
      </c>
      <c r="O11" s="147">
        <f>'4.1 Comptes 2020 natures'!O2</f>
        <v>7167</v>
      </c>
      <c r="P11" s="147">
        <f>'4.1 Comptes 2020 natures'!P2</f>
        <v>528</v>
      </c>
      <c r="Q11" s="147">
        <f>'4.1 Comptes 2020 natures'!Q2</f>
        <v>108</v>
      </c>
      <c r="R11" s="147">
        <f>'4.1 Comptes 2020 natures'!R2</f>
        <v>415</v>
      </c>
      <c r="S11" s="147">
        <f>'4.1 Comptes 2020 natures'!S2</f>
        <v>349</v>
      </c>
      <c r="T11" s="147">
        <f>'4.1 Comptes 2020 natures'!T2</f>
        <v>687</v>
      </c>
      <c r="U11" s="147">
        <f>'4.1 Comptes 2020 natures'!U2</f>
        <v>255</v>
      </c>
      <c r="V11" s="147">
        <f>'4.1 Comptes 2020 natures'!V2</f>
        <v>436</v>
      </c>
      <c r="W11" s="147">
        <f>'4.1 Comptes 2020 natures'!W2</f>
        <v>3190</v>
      </c>
      <c r="X11" s="148">
        <f>'4.1 Comptes 2020 natures'!X2</f>
        <v>324</v>
      </c>
      <c r="Y11" s="148">
        <f>'4.1 Comptes 2020 natures'!Y2</f>
        <v>1246</v>
      </c>
      <c r="Z11" s="148">
        <f>'4.1 Comptes 2020 natures'!Z2</f>
        <v>1528</v>
      </c>
      <c r="AA11" s="148">
        <f>'4.1 Comptes 2020 natures'!AA2</f>
        <v>96</v>
      </c>
      <c r="AB11" s="148">
        <f>'4.1 Comptes 2020 natures'!AB2</f>
        <v>149</v>
      </c>
      <c r="AC11" s="148">
        <f>'4.1 Comptes 2020 natures'!AC2</f>
        <v>516</v>
      </c>
      <c r="AD11" s="148">
        <f>'4.1 Comptes 2020 natures'!AD2</f>
        <v>671</v>
      </c>
      <c r="AE11" s="148">
        <f>'4.1 Comptes 2020 natures'!AE2</f>
        <v>572</v>
      </c>
      <c r="AF11" s="148">
        <f>'4.1 Comptes 2020 natures'!AF2</f>
        <v>490</v>
      </c>
      <c r="AG11" s="148">
        <f>'4.1 Comptes 2020 natures'!AG2</f>
        <v>1914</v>
      </c>
      <c r="AH11" s="148">
        <f>'4.1 Comptes 2020 natures'!AH2</f>
        <v>2615</v>
      </c>
      <c r="AI11" s="148">
        <f>'4.1 Comptes 2020 natures'!AI2</f>
        <v>227</v>
      </c>
      <c r="AJ11" s="148">
        <f>'4.1 Comptes 2020 natures'!AJ2</f>
        <v>131</v>
      </c>
      <c r="AK11" s="149">
        <f>'4.1 Comptes 2020 natures'!AK2</f>
        <v>1895</v>
      </c>
      <c r="AL11" s="149">
        <f>'4.1 Comptes 2020 natures'!AL2</f>
        <v>1135</v>
      </c>
      <c r="AM11" s="149">
        <f>'4.1 Comptes 2020 natures'!AM2</f>
        <v>1241</v>
      </c>
      <c r="AN11" s="149">
        <f>'4.1 Comptes 2020 natures'!AN2</f>
        <v>119</v>
      </c>
      <c r="AO11" s="149">
        <f>'4.1 Comptes 2020 natures'!AO2</f>
        <v>1195</v>
      </c>
      <c r="AP11" s="149">
        <f>'4.1 Comptes 2020 natures'!AP2</f>
        <v>663</v>
      </c>
      <c r="AQ11" s="149">
        <f>'4.1 Comptes 2020 natures'!AQ2</f>
        <v>645</v>
      </c>
      <c r="AR11" s="149">
        <f>'4.1 Comptes 2020 natures'!AR2</f>
        <v>1263</v>
      </c>
      <c r="AS11" s="149">
        <f>'4.1 Comptes 2020 natures'!AS2</f>
        <v>740</v>
      </c>
      <c r="AT11" s="149">
        <f>'4.1 Comptes 2020 natures'!AT2</f>
        <v>1028</v>
      </c>
      <c r="AU11" s="149">
        <f>'4.1 Comptes 2020 natures'!AU2</f>
        <v>314</v>
      </c>
      <c r="AV11" s="149">
        <f>'4.1 Comptes 2020 natures'!AV2</f>
        <v>2400</v>
      </c>
      <c r="AW11" s="149">
        <f>'4.1 Comptes 2020 natures'!AW2</f>
        <v>755</v>
      </c>
      <c r="AX11" s="149">
        <f>'4.1 Comptes 2020 natures'!AX2</f>
        <v>181</v>
      </c>
      <c r="AY11" s="149">
        <f>'4.1 Comptes 2020 natures'!AY2</f>
        <v>347</v>
      </c>
      <c r="AZ11" s="149">
        <f>'4.1 Comptes 2020 natures'!AZ2</f>
        <v>1690</v>
      </c>
      <c r="BA11" s="149">
        <f>'4.1 Comptes 2020 natures'!BA2</f>
        <v>387</v>
      </c>
      <c r="BB11" s="149">
        <f>'4.1 Comptes 2020 natures'!BB2</f>
        <v>1096</v>
      </c>
      <c r="BC11" s="150">
        <f>'4.1 Comptes 2020 natures'!BC2</f>
        <v>188</v>
      </c>
      <c r="BD11" s="150">
        <f>'4.1 Comptes 2020 natures'!BD2</f>
        <v>6434</v>
      </c>
      <c r="BE11" s="149">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577</v>
      </c>
      <c r="D15" s="131">
        <f>'7,4 Dettes brut sur revenus'!D30</f>
        <v>538714835.06000006</v>
      </c>
      <c r="E15" s="4">
        <f>'7,4 Dettes brut sur revenus'!E30</f>
        <v>7362387.0700000003</v>
      </c>
      <c r="F15" s="4">
        <f>'7,4 Dettes brut sur revenus'!F30</f>
        <v>1694059.85</v>
      </c>
      <c r="G15" s="4">
        <f>'7,4 Dettes brut sur revenus'!G30</f>
        <v>5594890.2999999998</v>
      </c>
      <c r="H15" s="4">
        <f>'7,4 Dettes brut sur revenus'!H30</f>
        <v>4325953.6500000004</v>
      </c>
      <c r="I15" s="4">
        <f>'7,4 Dettes brut sur revenus'!I30</f>
        <v>22913378</v>
      </c>
      <c r="J15" s="4">
        <f>'7,4 Dettes brut sur revenus'!J30</f>
        <v>20840155.5</v>
      </c>
      <c r="K15" s="4">
        <f>'7,4 Dettes brut sur revenus'!K30</f>
        <v>6817290.6900000004</v>
      </c>
      <c r="L15" s="4">
        <f>'7,4 Dettes brut sur revenus'!L30</f>
        <v>119224424.16999999</v>
      </c>
      <c r="M15" s="4">
        <f>'7,4 Dettes brut sur revenus'!M30</f>
        <v>5654444.4800000004</v>
      </c>
      <c r="N15" s="4">
        <f>'7,4 Dettes brut sur revenus'!N30</f>
        <v>0</v>
      </c>
      <c r="O15" s="4">
        <f>'7,4 Dettes brut sur revenus'!O30</f>
        <v>38037365.759999998</v>
      </c>
      <c r="P15" s="4">
        <f>'7,4 Dettes brut sur revenus'!P30</f>
        <v>3153128.1900000004</v>
      </c>
      <c r="Q15" s="4">
        <f>'7,4 Dettes brut sur revenus'!Q30</f>
        <v>536394.25</v>
      </c>
      <c r="R15" s="4">
        <f>'7,4 Dettes brut sur revenus'!R30</f>
        <v>3313530.66</v>
      </c>
      <c r="S15" s="4">
        <f>'7,4 Dettes brut sur revenus'!S30</f>
        <v>4204776.53</v>
      </c>
      <c r="T15" s="4">
        <f>'7,4 Dettes brut sur revenus'!T30</f>
        <v>5505378.5700000003</v>
      </c>
      <c r="U15" s="4">
        <f>'7,4 Dettes brut sur revenus'!U30</f>
        <v>653720.47</v>
      </c>
      <c r="V15" s="4">
        <f>'7,4 Dettes brut sur revenus'!V30</f>
        <v>2744898.29</v>
      </c>
      <c r="W15" s="4">
        <f>'7,4 Dettes brut sur revenus'!W30</f>
        <v>14833017.120000001</v>
      </c>
      <c r="X15" s="4">
        <f>'7,4 Dettes brut sur revenus'!X30</f>
        <v>567706</v>
      </c>
      <c r="Y15" s="4">
        <f>'7,4 Dettes brut sur revenus'!Y30</f>
        <v>12076989.98</v>
      </c>
      <c r="Z15" s="4">
        <f>'7,4 Dettes brut sur revenus'!Z30</f>
        <v>8118224.96</v>
      </c>
      <c r="AA15" s="4">
        <f>'7,4 Dettes brut sur revenus'!AA30</f>
        <v>644147</v>
      </c>
      <c r="AB15" s="4">
        <f>'7,4 Dettes brut sur revenus'!AB30</f>
        <v>1231444.1299999999</v>
      </c>
      <c r="AC15" s="4">
        <f>'7,4 Dettes brut sur revenus'!AC30</f>
        <v>3067383.23</v>
      </c>
      <c r="AD15" s="4">
        <f>'7,4 Dettes brut sur revenus'!AD30</f>
        <v>7698969.8399999999</v>
      </c>
      <c r="AE15" s="4">
        <f>'7,4 Dettes brut sur revenus'!AE30</f>
        <v>3837428.94</v>
      </c>
      <c r="AF15" s="4">
        <f>'7,4 Dettes brut sur revenus'!AF30</f>
        <v>1162741.5</v>
      </c>
      <c r="AG15" s="4">
        <f>'7,4 Dettes brut sur revenus'!AG30</f>
        <v>7078615.3899999997</v>
      </c>
      <c r="AH15" s="4">
        <f>'7,4 Dettes brut sur revenus'!AH30</f>
        <v>19272498</v>
      </c>
      <c r="AI15" s="4">
        <f>'7,4 Dettes brut sur revenus'!AI30</f>
        <v>885057.5</v>
      </c>
      <c r="AJ15" s="4">
        <f>'7,4 Dettes brut sur revenus'!AJ30</f>
        <v>719026.05</v>
      </c>
      <c r="AK15" s="4">
        <f>'7,4 Dettes brut sur revenus'!AK30</f>
        <v>17180810.02</v>
      </c>
      <c r="AL15" s="4">
        <f>'7,4 Dettes brut sur revenus'!AL30</f>
        <v>6479125</v>
      </c>
      <c r="AM15" s="4">
        <f>'7,4 Dettes brut sur revenus'!AM30</f>
        <v>11423868.66</v>
      </c>
      <c r="AN15" s="4">
        <f>'7,4 Dettes brut sur revenus'!AN30</f>
        <v>1630726.94</v>
      </c>
      <c r="AO15" s="4">
        <f>'7,4 Dettes brut sur revenus'!AO30</f>
        <v>10097839.1</v>
      </c>
      <c r="AP15" s="4">
        <f>'7,4 Dettes brut sur revenus'!AP30</f>
        <v>5139011.8899999997</v>
      </c>
      <c r="AQ15" s="4">
        <f>'7,4 Dettes brut sur revenus'!AQ30</f>
        <v>4438993</v>
      </c>
      <c r="AR15" s="4">
        <f>'7,4 Dettes brut sur revenus'!AR30</f>
        <v>9360629.9800000004</v>
      </c>
      <c r="AS15" s="4">
        <f>'7,4 Dettes brut sur revenus'!AS30</f>
        <v>5509464.75</v>
      </c>
      <c r="AT15" s="4">
        <f>'7,4 Dettes brut sur revenus'!AT30</f>
        <v>8021556.3700000001</v>
      </c>
      <c r="AU15" s="4">
        <f>'7,4 Dettes brut sur revenus'!AU30</f>
        <v>1892447.1</v>
      </c>
      <c r="AV15" s="4">
        <f>'7,4 Dettes brut sur revenus'!AV30</f>
        <v>13884615.460000001</v>
      </c>
      <c r="AW15" s="4">
        <f>'7,4 Dettes brut sur revenus'!AW30</f>
        <v>5721798.2999999998</v>
      </c>
      <c r="AX15" s="4">
        <f>'7,4 Dettes brut sur revenus'!AX30</f>
        <v>827166.2</v>
      </c>
      <c r="AY15" s="4">
        <f>'7,4 Dettes brut sur revenus'!AY30</f>
        <v>2006984.94</v>
      </c>
      <c r="AZ15" s="4">
        <f>'7,4 Dettes brut sur revenus'!AZ30</f>
        <v>20555588.629999999</v>
      </c>
      <c r="BA15" s="4">
        <f>'7,4 Dettes brut sur revenus'!BA30</f>
        <v>1211925.51</v>
      </c>
      <c r="BB15" s="4">
        <f>'7,4 Dettes brut sur revenus'!BB30</f>
        <v>10224980.140000001</v>
      </c>
      <c r="BC15" s="4">
        <f>'7,4 Dettes brut sur revenus'!BC30</f>
        <v>206289.58000000002</v>
      </c>
      <c r="BD15" s="4">
        <f>'7,4 Dettes brut sur revenus'!BD30</f>
        <v>64703530.620000005</v>
      </c>
      <c r="BE15" s="4">
        <f>'7,4 Dettes brut sur revenus'!BE30</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557</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578</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579</v>
      </c>
      <c r="D29" s="131">
        <f>'7,4 Dettes brut sur revenus'!D19</f>
        <v>1.4435025366540681</v>
      </c>
      <c r="E29" s="4">
        <f>'7,4 Dettes brut sur revenus'!E19</f>
        <v>7.6553601655648548E-2</v>
      </c>
      <c r="F29" s="4">
        <f>'7,4 Dettes brut sur revenus'!F19</f>
        <v>2.862309213919795</v>
      </c>
      <c r="G29" s="4">
        <f>'7,4 Dettes brut sur revenus'!G19</f>
        <v>4.7484417593637103</v>
      </c>
      <c r="H29" s="4">
        <f>'7,4 Dettes brut sur revenus'!H19</f>
        <v>5.2980397416059608</v>
      </c>
      <c r="I29" s="4">
        <f>'7,4 Dettes brut sur revenus'!I19</f>
        <v>2.138289938260042</v>
      </c>
      <c r="J29" s="4">
        <f>'7,4 Dettes brut sur revenus'!J19</f>
        <v>1.0779907609403421</v>
      </c>
      <c r="K29" s="4">
        <f>'7,4 Dettes brut sur revenus'!K19</f>
        <v>0.74979844162490739</v>
      </c>
      <c r="L29" s="4">
        <f>'7,4 Dettes brut sur revenus'!L19</f>
        <v>0.57893410650682231</v>
      </c>
      <c r="M29" s="4">
        <f>'7,4 Dettes brut sur revenus'!M19</f>
        <v>0.3556992448713735</v>
      </c>
      <c r="N29" s="4" t="e">
        <f>'7,4 Dettes brut sur revenus'!N19</f>
        <v>#VALUE!</v>
      </c>
      <c r="O29" s="4">
        <f>'7,4 Dettes brut sur revenus'!O19</f>
        <v>0.88767018302878675</v>
      </c>
      <c r="P29" s="4">
        <f>'7,4 Dettes brut sur revenus'!P19</f>
        <v>2.4626782377352914</v>
      </c>
      <c r="Q29" s="4">
        <f>'7,4 Dettes brut sur revenus'!Q19</f>
        <v>2.5978853826449186</v>
      </c>
      <c r="R29" s="4">
        <f>'7,4 Dettes brut sur revenus'!R19</f>
        <v>3.7120647031162552</v>
      </c>
      <c r="S29" s="4">
        <f>'7,4 Dettes brut sur revenus'!S19</f>
        <v>7.0274777957921826</v>
      </c>
      <c r="T29" s="4">
        <f>'7,4 Dettes brut sur revenus'!T19</f>
        <v>1.6720419265770625</v>
      </c>
      <c r="U29" s="4">
        <f>'7,4 Dettes brut sur revenus'!U19</f>
        <v>-0.18422801286332319</v>
      </c>
      <c r="V29" s="4">
        <f>'7,4 Dettes brut sur revenus'!V19</f>
        <v>3.3745805148662011</v>
      </c>
      <c r="W29" s="4">
        <f>'7,4 Dettes brut sur revenus'!W19</f>
        <v>1.5586797969178576</v>
      </c>
      <c r="X29" s="4">
        <f>'7,4 Dettes brut sur revenus'!X19</f>
        <v>-0.26436980670608651</v>
      </c>
      <c r="Y29" s="4">
        <f>'7,4 Dettes brut sur revenus'!Y19</f>
        <v>3.2033339174429494</v>
      </c>
      <c r="Z29" s="4">
        <f>'7,4 Dettes brut sur revenus'!Z19</f>
        <v>-0.25376604648103745</v>
      </c>
      <c r="AA29" s="4">
        <f>'7,4 Dettes brut sur revenus'!AA19</f>
        <v>8.4291939853166333</v>
      </c>
      <c r="AB29" s="4">
        <f>'7,4 Dettes brut sur revenus'!AB19</f>
        <v>0.21439013414058061</v>
      </c>
      <c r="AC29" s="4">
        <f>'7,4 Dettes brut sur revenus'!AC19</f>
        <v>2.5101974758090688</v>
      </c>
      <c r="AD29" s="4">
        <f>'7,4 Dettes brut sur revenus'!AD19</f>
        <v>-1.5861619756923973</v>
      </c>
      <c r="AE29" s="4">
        <f>'7,4 Dettes brut sur revenus'!AE19</f>
        <v>2.2598289132293403</v>
      </c>
      <c r="AF29" s="4">
        <f>'7,4 Dettes brut sur revenus'!AF19</f>
        <v>0.19454663339817824</v>
      </c>
      <c r="AG29" s="4">
        <f>'7,4 Dettes brut sur revenus'!AG19</f>
        <v>0.84150648684192442</v>
      </c>
      <c r="AH29" s="4">
        <f>'7,4 Dettes brut sur revenus'!AH19</f>
        <v>1.9035812338406615</v>
      </c>
      <c r="AI29" s="4">
        <f>'7,4 Dettes brut sur revenus'!AI19</f>
        <v>0.42364225824525847</v>
      </c>
      <c r="AJ29" s="4">
        <f>'7,4 Dettes brut sur revenus'!AJ19</f>
        <v>0.16400197198503161</v>
      </c>
      <c r="AK29" s="4">
        <f>'7,4 Dettes brut sur revenus'!AK19</f>
        <v>0.68738373157138666</v>
      </c>
      <c r="AL29" s="4">
        <f>'7,4 Dettes brut sur revenus'!AL19</f>
        <v>3.5327958258023857</v>
      </c>
      <c r="AM29" s="4">
        <f>'7,4 Dettes brut sur revenus'!AM19</f>
        <v>2.2483690909752845</v>
      </c>
      <c r="AN29" s="4">
        <f>'7,4 Dettes brut sur revenus'!AN19</f>
        <v>-2.0535758989909589</v>
      </c>
      <c r="AO29" s="4">
        <f>'7,4 Dettes brut sur revenus'!AO19</f>
        <v>0.62857726139987313</v>
      </c>
      <c r="AP29" s="4">
        <f>'7,4 Dettes brut sur revenus'!AP19</f>
        <v>1.4402496146230848</v>
      </c>
      <c r="AQ29" s="4">
        <f>'7,4 Dettes brut sur revenus'!AQ19</f>
        <v>1.5740459892609744</v>
      </c>
      <c r="AR29" s="4">
        <f>'7,4 Dettes brut sur revenus'!AR19</f>
        <v>1.7595760092328301</v>
      </c>
      <c r="AS29" s="4">
        <f>'7,4 Dettes brut sur revenus'!AS19</f>
        <v>1.9026119407402848</v>
      </c>
      <c r="AT29" s="4">
        <f>'7,4 Dettes brut sur revenus'!AT19</f>
        <v>2.3316563378902511</v>
      </c>
      <c r="AU29" s="4">
        <f>'7,4 Dettes brut sur revenus'!AU19</f>
        <v>0.81127491987407518</v>
      </c>
      <c r="AV29" s="4">
        <f>'7,4 Dettes brut sur revenus'!AV19</f>
        <v>2.6740501161172174</v>
      </c>
      <c r="AW29" s="4">
        <f>'7,4 Dettes brut sur revenus'!AW19</f>
        <v>1.4438600564771966</v>
      </c>
      <c r="AX29" s="4">
        <f>'7,4 Dettes brut sur revenus'!AX19</f>
        <v>1.0029225818084</v>
      </c>
      <c r="AY29" s="4">
        <f>'7,4 Dettes brut sur revenus'!AY19</f>
        <v>0.89846473112479441</v>
      </c>
      <c r="AZ29" s="4">
        <f>'7,4 Dettes brut sur revenus'!AZ19</f>
        <v>5.4527880740282582</v>
      </c>
      <c r="BA29" s="4">
        <f>'7,4 Dettes brut sur revenus'!BA19</f>
        <v>-0.21033873125089297</v>
      </c>
      <c r="BB29" s="4">
        <f>'7,4 Dettes brut sur revenus'!BB19</f>
        <v>1.4692231724492817</v>
      </c>
      <c r="BC29" s="4">
        <f>'7,4 Dettes brut sur revenus'!BC19</f>
        <v>-1.0828300530300936</v>
      </c>
      <c r="BD29" s="4">
        <f>'7,4 Dettes brut sur revenus'!BD19</f>
        <v>2.4316799166573313</v>
      </c>
      <c r="BE29" s="4">
        <f>'7,4 Dettes brut sur revenus'!BE19</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580</v>
      </c>
      <c r="D31" s="131">
        <f>'7,4 Dettes brut sur revenus'!D34</f>
        <v>255.25284918619286</v>
      </c>
      <c r="E31" s="4">
        <f>'7,4 Dettes brut sur revenus'!E34</f>
        <v>222.00231094004522</v>
      </c>
      <c r="F31" s="4">
        <f>'7,4 Dettes brut sur revenus'!F34</f>
        <v>239.11209636368235</v>
      </c>
      <c r="G31" s="4">
        <f>'7,4 Dettes brut sur revenus'!G34</f>
        <v>485.98382992820933</v>
      </c>
      <c r="H31" s="4">
        <f>'7,4 Dettes brut sur revenus'!H34</f>
        <v>419.48775690627667</v>
      </c>
      <c r="I31" s="4">
        <f>'7,4 Dettes brut sur revenus'!I34</f>
        <v>305.26757401214337</v>
      </c>
      <c r="J31" s="4">
        <f>'7,4 Dettes brut sur revenus'!J34</f>
        <v>222.03169083472639</v>
      </c>
      <c r="K31" s="4">
        <f>'7,4 Dettes brut sur revenus'!K34</f>
        <v>96.362060861585036</v>
      </c>
      <c r="L31" s="4">
        <f>'7,4 Dettes brut sur revenus'!L34</f>
        <v>329.5567878055179</v>
      </c>
      <c r="M31" s="4">
        <f>'7,4 Dettes brut sur revenus'!M34</f>
        <v>167.34657871202828</v>
      </c>
      <c r="N31" s="4" t="e">
        <f>'7,4 Dettes brut sur revenus'!N34</f>
        <v>#VALUE!</v>
      </c>
      <c r="O31" s="4">
        <f>'7,4 Dettes brut sur revenus'!O34</f>
        <v>231.80936233037005</v>
      </c>
      <c r="P31" s="4">
        <f>'7,4 Dettes brut sur revenus'!P34</f>
        <v>257.63861219080337</v>
      </c>
      <c r="Q31" s="4">
        <f>'7,4 Dettes brut sur revenus'!Q34</f>
        <v>285.83957215261779</v>
      </c>
      <c r="R31" s="4">
        <f>'7,4 Dettes brut sur revenus'!R34</f>
        <v>334.97662539875728</v>
      </c>
      <c r="S31" s="4">
        <f>'7,4 Dettes brut sur revenus'!S34</f>
        <v>581.64660524769954</v>
      </c>
      <c r="T31" s="4">
        <f>'7,4 Dettes brut sur revenus'!T34</f>
        <v>275.41460905746095</v>
      </c>
      <c r="U31" s="4">
        <f>'7,4 Dettes brut sur revenus'!U34</f>
        <v>109.58373732375289</v>
      </c>
      <c r="V31" s="4">
        <f>'7,4 Dettes brut sur revenus'!V34</f>
        <v>211.38321866941078</v>
      </c>
      <c r="W31" s="4">
        <f>'7,4 Dettes brut sur revenus'!W34</f>
        <v>201.53482621513569</v>
      </c>
      <c r="X31" s="4">
        <f>'7,4 Dettes brut sur revenus'!X34</f>
        <v>66.882497988362545</v>
      </c>
      <c r="Y31" s="4">
        <f>'7,4 Dettes brut sur revenus'!Y34</f>
        <v>321.31633746844506</v>
      </c>
      <c r="Z31" s="4">
        <f>'7,4 Dettes brut sur revenus'!Z34</f>
        <v>85.306255102747315</v>
      </c>
      <c r="AA31" s="4">
        <f>'7,4 Dettes brut sur revenus'!AA34</f>
        <v>1264.4713595854109</v>
      </c>
      <c r="AB31" s="4">
        <f>'7,4 Dettes brut sur revenus'!AB34</f>
        <v>430.2631555041242</v>
      </c>
      <c r="AC31" s="4">
        <f>'7,4 Dettes brut sur revenus'!AC34</f>
        <v>357.5451156644491</v>
      </c>
      <c r="AD31" s="4">
        <f>'7,4 Dettes brut sur revenus'!AD34</f>
        <v>658.83767280918175</v>
      </c>
      <c r="AE31" s="4">
        <f>'7,4 Dettes brut sur revenus'!AE34</f>
        <v>311.94418310873277</v>
      </c>
      <c r="AF31" s="4">
        <f>'7,4 Dettes brut sur revenus'!AF34</f>
        <v>92.848764247977613</v>
      </c>
      <c r="AG31" s="4">
        <f>'7,4 Dettes brut sur revenus'!AG34</f>
        <v>102.36560756179199</v>
      </c>
      <c r="AH31" s="4">
        <f>'7,4 Dettes brut sur revenus'!AH34</f>
        <v>251.07795800415377</v>
      </c>
      <c r="AI31" s="4">
        <f>'7,4 Dettes brut sur revenus'!AI34</f>
        <v>169.74103324531347</v>
      </c>
      <c r="AJ31" s="4">
        <f>'7,4 Dettes brut sur revenus'!AJ34</f>
        <v>240.56813845650186</v>
      </c>
      <c r="AK31" s="4">
        <f>'7,4 Dettes brut sur revenus'!AK34</f>
        <v>316.57774476041084</v>
      </c>
      <c r="AL31" s="4">
        <f>'7,4 Dettes brut sur revenus'!AL34</f>
        <v>261.03259003343538</v>
      </c>
      <c r="AM31" s="4">
        <f>'7,4 Dettes brut sur revenus'!AM34</f>
        <v>385.80890000849035</v>
      </c>
      <c r="AN31" s="4">
        <f>'7,4 Dettes brut sur revenus'!AN34</f>
        <v>487.4529903492957</v>
      </c>
      <c r="AO31" s="4">
        <f>'7,4 Dettes brut sur revenus'!AO34</f>
        <v>147.87057668298502</v>
      </c>
      <c r="AP31" s="4">
        <f>'7,4 Dettes brut sur revenus'!AP34</f>
        <v>266.02234485207941</v>
      </c>
      <c r="AQ31" s="4">
        <f>'7,4 Dettes brut sur revenus'!AQ34</f>
        <v>227.43539164651389</v>
      </c>
      <c r="AR31" s="4">
        <f>'7,4 Dettes brut sur revenus'!AR34</f>
        <v>281.71320359908935</v>
      </c>
      <c r="AS31" s="4">
        <f>'7,4 Dettes brut sur revenus'!AS34</f>
        <v>326.15011644275955</v>
      </c>
      <c r="AT31" s="4">
        <f>'7,4 Dettes brut sur revenus'!AT34</f>
        <v>335.39029587621678</v>
      </c>
      <c r="AU31" s="4">
        <f>'7,4 Dettes brut sur revenus'!AU34</f>
        <v>83.95140335513787</v>
      </c>
      <c r="AV31" s="4">
        <f>'7,4 Dettes brut sur revenus'!AV34</f>
        <v>250.0363158769014</v>
      </c>
      <c r="AW31" s="4">
        <f>'7,4 Dettes brut sur revenus'!AW34</f>
        <v>259.83880343873039</v>
      </c>
      <c r="AX31" s="4">
        <f>'7,4 Dettes brut sur revenus'!AX34</f>
        <v>218.3597587068308</v>
      </c>
      <c r="AY31" s="4">
        <f>'7,4 Dettes brut sur revenus'!AY34</f>
        <v>222.34452259796734</v>
      </c>
      <c r="AZ31" s="4">
        <f>'7,4 Dettes brut sur revenus'!AZ34</f>
        <v>423.16872990597949</v>
      </c>
      <c r="BA31" s="4">
        <f>'7,4 Dettes brut sur revenus'!BA34</f>
        <v>123.07474538870397</v>
      </c>
      <c r="BB31" s="4">
        <f>'7,4 Dettes brut sur revenus'!BB34</f>
        <v>282.9673788677465</v>
      </c>
      <c r="BC31" s="4">
        <f>'7,4 Dettes brut sur revenus'!BC34</f>
        <v>60.374490006609925</v>
      </c>
      <c r="BD31" s="4">
        <f>'7,4 Dettes brut sur revenus'!BD34</f>
        <v>262.10478939943715</v>
      </c>
      <c r="BE31" s="4">
        <f>'7,4 Dettes brut sur revenus'!BE34</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538</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581</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552</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556</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560</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582</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584</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5"/>
      <c r="B9" s="155"/>
      <c r="C9" s="155"/>
      <c r="D9" s="155"/>
      <c r="E9" s="155"/>
      <c r="F9" s="155"/>
      <c r="G9" s="155"/>
      <c r="H9" s="155"/>
    </row>
    <row r="10" spans="1:8" ht="15.75" thickBot="1" x14ac:dyDescent="0.3">
      <c r="B10" s="227" t="s">
        <v>596</v>
      </c>
      <c r="C10" s="227"/>
      <c r="D10" s="227"/>
    </row>
    <row r="11" spans="1:8" ht="15.75" thickBot="1" x14ac:dyDescent="0.3">
      <c r="A11" s="156" t="s">
        <v>583</v>
      </c>
      <c r="B11" s="214" t="s">
        <v>16</v>
      </c>
      <c r="C11" s="215"/>
      <c r="D11" s="216"/>
      <c r="F11" s="110"/>
    </row>
    <row r="12" spans="1:8" ht="15.75" thickBot="1" x14ac:dyDescent="0.3">
      <c r="E12" s="7"/>
      <c r="H12" s="117"/>
    </row>
    <row r="13" spans="1:8" ht="15.75" thickBot="1" x14ac:dyDescent="0.3">
      <c r="A13" s="224" t="s">
        <v>576</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59" t="s">
        <v>598</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59" t="s">
        <v>599</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557</v>
      </c>
      <c r="D28" s="131">
        <f>HLOOKUP($B$11,Récapitulatif!E10:BE43,15,0)</f>
        <v>4085388.59</v>
      </c>
      <c r="E28" s="7"/>
      <c r="H28" s="133"/>
    </row>
    <row r="29" spans="1:8" ht="15.75" thickBot="1" x14ac:dyDescent="0.3">
      <c r="D29" s="4"/>
      <c r="H29" s="132"/>
    </row>
    <row r="30" spans="1:8" ht="15.75" thickBot="1" x14ac:dyDescent="0.3">
      <c r="A30" t="s">
        <v>578</v>
      </c>
      <c r="D30" s="131">
        <f>HLOOKUP($B$11,Récapitulatif!E10:BE43,17,0)</f>
        <v>-1473.5315391598212</v>
      </c>
      <c r="H30" s="132"/>
    </row>
    <row r="31" spans="1:8" ht="15.75" thickBot="1" x14ac:dyDescent="0.3">
      <c r="D31" s="4"/>
    </row>
    <row r="32" spans="1:8" ht="15.75" thickBot="1" x14ac:dyDescent="0.3">
      <c r="A32" s="7" t="s">
        <v>579</v>
      </c>
      <c r="D32" s="131">
        <f>HLOOKUP($B$11,Récapitulatif!E10:BE43,20,0)</f>
        <v>2.4316799166573313</v>
      </c>
    </row>
    <row r="33" spans="1:4" ht="15.75" thickBot="1" x14ac:dyDescent="0.3">
      <c r="D33" s="4"/>
    </row>
    <row r="34" spans="1:4" ht="15.75" thickBot="1" x14ac:dyDescent="0.3">
      <c r="A34" s="7" t="s">
        <v>580</v>
      </c>
      <c r="D34" s="131">
        <f>HLOOKUP($B$11,Récapitulatif!E10:BE43,22,0)</f>
        <v>262.10478939943715</v>
      </c>
    </row>
    <row r="35" spans="1:4" ht="15.75" thickBot="1" x14ac:dyDescent="0.3">
      <c r="D35" s="4"/>
    </row>
    <row r="36" spans="1:4" ht="15.75" thickBot="1" x14ac:dyDescent="0.3">
      <c r="A36" s="7" t="s">
        <v>538</v>
      </c>
      <c r="D36" s="131">
        <f>HLOOKUP($B$11,Récapitulatif!E10:BE43,24,0)</f>
        <v>8.1188239344089208</v>
      </c>
    </row>
    <row r="37" spans="1:4" ht="15.75" thickBot="1" x14ac:dyDescent="0.3">
      <c r="B37" s="110"/>
      <c r="D37" s="119"/>
    </row>
    <row r="38" spans="1:4" ht="15.75" thickBot="1" x14ac:dyDescent="0.3">
      <c r="A38" s="7" t="s">
        <v>581</v>
      </c>
      <c r="D38" s="131">
        <f>HLOOKUP($B$11,Récapitulatif!E10:BE43,26,0)</f>
        <v>14.948587244369516</v>
      </c>
    </row>
    <row r="39" spans="1:4" ht="15.75" thickBot="1" x14ac:dyDescent="0.3">
      <c r="D39" s="4"/>
    </row>
    <row r="40" spans="1:4" ht="15.75" thickBot="1" x14ac:dyDescent="0.3">
      <c r="A40" s="7" t="s">
        <v>552</v>
      </c>
      <c r="D40" s="131">
        <f>HLOOKUP($B$11,Récapitulatif!E10:BE43,28,0)</f>
        <v>6351.1389306807578</v>
      </c>
    </row>
    <row r="41" spans="1:4" ht="15.75" thickBot="1" x14ac:dyDescent="0.3">
      <c r="D41" s="132"/>
    </row>
    <row r="42" spans="1:4" ht="15.75" thickBot="1" x14ac:dyDescent="0.3">
      <c r="A42" s="7" t="s">
        <v>556</v>
      </c>
      <c r="D42" s="131">
        <f>HLOOKUP($B$11,Récapitulatif!E10:BE43,30,0)</f>
        <v>16.549327459200917</v>
      </c>
    </row>
    <row r="43" spans="1:4" ht="15.75" thickBot="1" x14ac:dyDescent="0.3">
      <c r="D43" s="132"/>
    </row>
    <row r="44" spans="1:4" ht="15.75" thickBot="1" x14ac:dyDescent="0.3">
      <c r="A44" s="7" t="s">
        <v>560</v>
      </c>
      <c r="D44" s="131">
        <f>HLOOKUP($B$11,Récapitulatif!E10:BE43,32,0)</f>
        <v>-1.639107901842753</v>
      </c>
    </row>
    <row r="45" spans="1:4" ht="15.75" thickBot="1" x14ac:dyDescent="0.3">
      <c r="D45" s="4"/>
    </row>
    <row r="46" spans="1:4" ht="15.75" thickBot="1" x14ac:dyDescent="0.3">
      <c r="A46" s="7" t="s">
        <v>582</v>
      </c>
      <c r="D46" s="131">
        <f>HLOOKUP($B$11,Récapitulatif!E10:BE43,34,0)</f>
        <v>6.7979545950389477</v>
      </c>
    </row>
    <row r="48" spans="1:4" x14ac:dyDescent="0.25">
      <c r="A48" s="159" t="s">
        <v>584</v>
      </c>
    </row>
    <row r="51" spans="1:3" x14ac:dyDescent="0.25">
      <c r="A51" s="158" t="s">
        <v>597</v>
      </c>
      <c r="B51" s="197" t="s">
        <v>782</v>
      </c>
      <c r="C51" s="157"/>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2" t="s">
        <v>767</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771</v>
      </c>
      <c r="I3" s="43" t="s">
        <v>33</v>
      </c>
      <c r="J3" s="43" t="s">
        <v>28</v>
      </c>
      <c r="K3" s="43" t="s">
        <v>772</v>
      </c>
      <c r="L3" s="43" t="s">
        <v>16</v>
      </c>
      <c r="M3" s="43" t="s">
        <v>773</v>
      </c>
      <c r="N3" s="43" t="s">
        <v>774</v>
      </c>
      <c r="O3" s="43" t="s">
        <v>59</v>
      </c>
      <c r="P3" s="43" t="s">
        <v>775</v>
      </c>
      <c r="Q3" s="43" t="s">
        <v>776</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595</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3">
        <f t="shared" ref="E160:R160" si="35">E157-E159</f>
        <v>-1.127773430198431E-10</v>
      </c>
      <c r="F160" s="153">
        <f t="shared" si="35"/>
        <v>0</v>
      </c>
      <c r="G160" s="153">
        <f t="shared" si="35"/>
        <v>5.2295945351943374E-12</v>
      </c>
      <c r="H160" s="153">
        <f t="shared" si="35"/>
        <v>0</v>
      </c>
      <c r="I160" s="153">
        <f t="shared" si="35"/>
        <v>-5.8207660913467407E-11</v>
      </c>
      <c r="J160" s="153">
        <f t="shared" si="35"/>
        <v>0</v>
      </c>
      <c r="K160" s="153">
        <f t="shared" si="35"/>
        <v>0</v>
      </c>
      <c r="L160" s="153">
        <f t="shared" si="35"/>
        <v>0</v>
      </c>
      <c r="M160" s="153">
        <f t="shared" si="35"/>
        <v>0</v>
      </c>
      <c r="N160" s="153">
        <f t="shared" si="35"/>
        <v>0</v>
      </c>
      <c r="O160" s="153">
        <f t="shared" si="35"/>
        <v>0</v>
      </c>
      <c r="P160" s="153">
        <f t="shared" si="35"/>
        <v>0</v>
      </c>
      <c r="Q160" s="153">
        <f t="shared" si="35"/>
        <v>0</v>
      </c>
      <c r="R160" s="153">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606</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607</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4" t="s">
        <v>28</v>
      </c>
    </row>
    <row r="7" spans="1:5" x14ac:dyDescent="0.25">
      <c r="E7" s="65" t="s">
        <v>205</v>
      </c>
    </row>
    <row r="8" spans="1:5" ht="21" x14ac:dyDescent="0.35">
      <c r="A8" s="92">
        <v>3</v>
      </c>
      <c r="B8" s="92"/>
      <c r="C8" s="92"/>
      <c r="D8" s="92" t="s">
        <v>60</v>
      </c>
      <c r="E8" s="171">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595</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2">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820</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595</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1">
        <f>E154+E155</f>
        <v>338069</v>
      </c>
      <c r="F157" s="181">
        <f t="shared" ref="F157:BI157" si="102">F154+F155</f>
        <v>183367.53000000003</v>
      </c>
      <c r="G157" s="181">
        <f t="shared" si="102"/>
        <v>-29321.279999999999</v>
      </c>
      <c r="H157" s="181">
        <f t="shared" si="102"/>
        <v>21653.66</v>
      </c>
      <c r="I157" s="181">
        <f t="shared" si="102"/>
        <v>461623.62999999995</v>
      </c>
      <c r="J157" s="181">
        <f t="shared" si="102"/>
        <v>1051215.94</v>
      </c>
      <c r="K157" s="181">
        <f t="shared" si="102"/>
        <v>253856.48</v>
      </c>
      <c r="L157" s="181">
        <f t="shared" si="102"/>
        <v>2089673.1800000002</v>
      </c>
      <c r="M157" s="181">
        <f t="shared" si="102"/>
        <v>-1352.8600000000151</v>
      </c>
      <c r="N157" s="181">
        <f t="shared" si="102"/>
        <v>-63918.92</v>
      </c>
      <c r="O157" s="181">
        <f t="shared" si="102"/>
        <v>-1177403.47</v>
      </c>
      <c r="P157" s="181">
        <f t="shared" si="102"/>
        <v>-93731.8</v>
      </c>
      <c r="Q157" s="181">
        <f t="shared" si="102"/>
        <v>-9460.8100000000013</v>
      </c>
      <c r="R157" s="181">
        <f t="shared" si="102"/>
        <v>-16853.579999999998</v>
      </c>
      <c r="S157" s="181">
        <f t="shared" si="102"/>
        <v>-13071.369999999995</v>
      </c>
      <c r="T157" s="181">
        <f t="shared" si="102"/>
        <v>262757.42</v>
      </c>
      <c r="U157" s="181">
        <f t="shared" si="102"/>
        <v>9048.7099999999991</v>
      </c>
      <c r="V157" s="181">
        <f t="shared" si="102"/>
        <v>-152377.16</v>
      </c>
      <c r="W157" s="181">
        <f t="shared" si="102"/>
        <v>364711.41000000003</v>
      </c>
      <c r="X157" s="181">
        <f t="shared" si="102"/>
        <v>26286.14</v>
      </c>
      <c r="Y157" s="181">
        <f t="shared" si="102"/>
        <v>178997.68</v>
      </c>
      <c r="Z157" s="181">
        <f t="shared" si="102"/>
        <v>3517719.9899999998</v>
      </c>
      <c r="AA157" s="181">
        <f t="shared" si="102"/>
        <v>-11170.27</v>
      </c>
      <c r="AB157" s="181">
        <f t="shared" si="102"/>
        <v>41421.78</v>
      </c>
      <c r="AC157" s="181">
        <f t="shared" si="102"/>
        <v>-114596.97</v>
      </c>
      <c r="AD157" s="181">
        <f t="shared" si="102"/>
        <v>-99000.459999999992</v>
      </c>
      <c r="AE157" s="181">
        <f t="shared" si="102"/>
        <v>-194273.68</v>
      </c>
      <c r="AF157" s="181">
        <f t="shared" si="102"/>
        <v>122538.76</v>
      </c>
      <c r="AG157" s="181">
        <f t="shared" si="102"/>
        <v>1107210.3</v>
      </c>
      <c r="AH157" s="181">
        <f t="shared" si="102"/>
        <v>243887.35</v>
      </c>
      <c r="AI157" s="181">
        <f t="shared" si="102"/>
        <v>-5355.96</v>
      </c>
      <c r="AJ157" s="181">
        <f t="shared" si="102"/>
        <v>22586.400000000001</v>
      </c>
      <c r="AK157" s="181">
        <f t="shared" si="102"/>
        <v>153720</v>
      </c>
      <c r="AL157" s="181">
        <f t="shared" si="102"/>
        <v>-32824.589999999997</v>
      </c>
      <c r="AM157" s="181">
        <f t="shared" si="102"/>
        <v>-5589.7700000000041</v>
      </c>
      <c r="AN157" s="181">
        <f t="shared" si="102"/>
        <v>13711.05</v>
      </c>
      <c r="AO157" s="181">
        <f t="shared" si="102"/>
        <v>341994.52</v>
      </c>
      <c r="AP157" s="181">
        <f t="shared" si="102"/>
        <v>197653.74000000002</v>
      </c>
      <c r="AQ157" s="181">
        <f t="shared" si="102"/>
        <v>23915.769999999997</v>
      </c>
      <c r="AR157" s="181">
        <f t="shared" si="102"/>
        <v>50671.79</v>
      </c>
      <c r="AS157" s="181">
        <f t="shared" si="102"/>
        <v>52551.100000000006</v>
      </c>
      <c r="AT157" s="181">
        <f t="shared" si="102"/>
        <v>35118.03</v>
      </c>
      <c r="AU157" s="181">
        <f t="shared" si="102"/>
        <v>112815.42</v>
      </c>
      <c r="AV157" s="181">
        <f t="shared" si="102"/>
        <v>-268507.58</v>
      </c>
      <c r="AW157" s="181">
        <f t="shared" si="102"/>
        <v>-9064.0300000000025</v>
      </c>
      <c r="AX157" s="181">
        <f t="shared" si="102"/>
        <v>29819.599999999999</v>
      </c>
      <c r="AY157" s="181">
        <f t="shared" si="102"/>
        <v>73689.049999999988</v>
      </c>
      <c r="AZ157" s="181">
        <f t="shared" si="102"/>
        <v>79042.83</v>
      </c>
      <c r="BA157" s="181">
        <f t="shared" si="102"/>
        <v>160878.04999999999</v>
      </c>
      <c r="BB157" s="181">
        <f t="shared" si="102"/>
        <v>192186.95</v>
      </c>
      <c r="BC157" s="181">
        <f t="shared" si="102"/>
        <v>-14911.230000000001</v>
      </c>
      <c r="BD157" s="181">
        <f t="shared" si="102"/>
        <v>1253727.51</v>
      </c>
      <c r="BE157" s="181">
        <f t="shared" si="102"/>
        <v>49199.93</v>
      </c>
      <c r="BF157" s="181">
        <f t="shared" si="102"/>
        <v>10804534.910000002</v>
      </c>
      <c r="BG157" s="181">
        <f t="shared" si="102"/>
        <v>3478485.71</v>
      </c>
      <c r="BH157" s="181">
        <f t="shared" si="102"/>
        <v>4836251.0600000005</v>
      </c>
      <c r="BI157" s="181">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3">
        <f t="shared" ref="E160:AJ160" si="105">E157-E159</f>
        <v>-4.6566128730773926E-10</v>
      </c>
      <c r="F160" s="153">
        <f t="shared" si="105"/>
        <v>-2.3283064365386963E-10</v>
      </c>
      <c r="G160" s="153">
        <f t="shared" si="105"/>
        <v>-2.0372681319713593E-10</v>
      </c>
      <c r="H160" s="153">
        <f t="shared" si="105"/>
        <v>-1.4915713109076023E-10</v>
      </c>
      <c r="I160" s="153">
        <f t="shared" si="105"/>
        <v>-2.7357600629329681E-9</v>
      </c>
      <c r="J160" s="153">
        <f t="shared" si="105"/>
        <v>0</v>
      </c>
      <c r="K160" s="153">
        <f t="shared" si="105"/>
        <v>-4.3655745685100555E-10</v>
      </c>
      <c r="L160" s="153">
        <f t="shared" si="105"/>
        <v>-6.9849193096160889E-9</v>
      </c>
      <c r="M160" s="153">
        <f t="shared" si="105"/>
        <v>-6.1118043959140778E-10</v>
      </c>
      <c r="N160" s="153">
        <f t="shared" si="105"/>
        <v>0</v>
      </c>
      <c r="O160" s="153">
        <f t="shared" si="105"/>
        <v>2.5611370801925659E-9</v>
      </c>
      <c r="P160" s="153">
        <f t="shared" si="105"/>
        <v>0</v>
      </c>
      <c r="Q160" s="153">
        <f t="shared" si="105"/>
        <v>0</v>
      </c>
      <c r="R160" s="153">
        <f t="shared" si="105"/>
        <v>-1.5643308870494366E-10</v>
      </c>
      <c r="S160" s="153">
        <f t="shared" si="105"/>
        <v>1.1641532182693481E-10</v>
      </c>
      <c r="T160" s="153">
        <f t="shared" si="105"/>
        <v>0</v>
      </c>
      <c r="U160" s="153">
        <f t="shared" si="105"/>
        <v>3.637978807091713E-11</v>
      </c>
      <c r="V160" s="153">
        <f t="shared" si="105"/>
        <v>6.1118043959140778E-10</v>
      </c>
      <c r="W160" s="153">
        <f t="shared" si="105"/>
        <v>0</v>
      </c>
      <c r="X160" s="153">
        <f t="shared" si="105"/>
        <v>-3.637978807091713E-10</v>
      </c>
      <c r="Y160" s="153">
        <f t="shared" si="105"/>
        <v>2.9103830456733704E-10</v>
      </c>
      <c r="Z160" s="153">
        <f t="shared" si="105"/>
        <v>0</v>
      </c>
      <c r="AA160" s="153">
        <f t="shared" si="105"/>
        <v>1.8189894035458565E-11</v>
      </c>
      <c r="AB160" s="153">
        <f t="shared" si="105"/>
        <v>0</v>
      </c>
      <c r="AC160" s="153">
        <f t="shared" si="105"/>
        <v>1.1350493878126144E-9</v>
      </c>
      <c r="AD160" s="153">
        <f t="shared" si="105"/>
        <v>1.8335413187742233E-9</v>
      </c>
      <c r="AE160" s="153">
        <f t="shared" si="105"/>
        <v>-2.9103830456733704E-10</v>
      </c>
      <c r="AF160" s="153">
        <f t="shared" si="105"/>
        <v>2.1827872842550278E-10</v>
      </c>
      <c r="AG160" s="153">
        <f t="shared" si="105"/>
        <v>-2.5611370801925659E-9</v>
      </c>
      <c r="AH160" s="153">
        <f t="shared" si="105"/>
        <v>2.2409949451684952E-9</v>
      </c>
      <c r="AI160" s="153">
        <f t="shared" si="105"/>
        <v>-3.7289282772690058E-11</v>
      </c>
      <c r="AJ160" s="153">
        <f t="shared" si="105"/>
        <v>0</v>
      </c>
      <c r="AK160" s="153">
        <f t="shared" ref="AK160:BI160" si="106">AK157-AK159</f>
        <v>-9.3132257461547852E-10</v>
      </c>
      <c r="AL160" s="153">
        <f t="shared" si="106"/>
        <v>1.7171259969472885E-9</v>
      </c>
      <c r="AM160" s="153">
        <f t="shared" si="106"/>
        <v>4.8021320253610611E-10</v>
      </c>
      <c r="AN160" s="153">
        <f t="shared" si="106"/>
        <v>6.9121597334742546E-11</v>
      </c>
      <c r="AO160" s="153">
        <f t="shared" si="106"/>
        <v>-4.6566128730773926E-10</v>
      </c>
      <c r="AP160" s="153">
        <f t="shared" si="106"/>
        <v>-6.6938810050487518E-10</v>
      </c>
      <c r="AQ160" s="153">
        <f t="shared" si="106"/>
        <v>4.4383341446518898E-10</v>
      </c>
      <c r="AR160" s="153">
        <f t="shared" si="106"/>
        <v>-9.6770236268639565E-10</v>
      </c>
      <c r="AS160" s="153">
        <f t="shared" si="106"/>
        <v>-8.7311491370201111E-11</v>
      </c>
      <c r="AT160" s="153">
        <f t="shared" si="106"/>
        <v>-2.6193447411060333E-10</v>
      </c>
      <c r="AU160" s="153">
        <f t="shared" si="106"/>
        <v>0</v>
      </c>
      <c r="AV160" s="153">
        <f t="shared" si="106"/>
        <v>0</v>
      </c>
      <c r="AW160" s="153">
        <f t="shared" si="106"/>
        <v>-2.0736479200422764E-10</v>
      </c>
      <c r="AX160" s="153">
        <f t="shared" si="106"/>
        <v>-9.4587448984384537E-11</v>
      </c>
      <c r="AY160" s="153">
        <f t="shared" si="106"/>
        <v>1.7462298274040222E-10</v>
      </c>
      <c r="AZ160" s="153">
        <f t="shared" si="106"/>
        <v>0</v>
      </c>
      <c r="BA160" s="153">
        <f t="shared" si="106"/>
        <v>0</v>
      </c>
      <c r="BB160" s="153">
        <f t="shared" si="106"/>
        <v>0</v>
      </c>
      <c r="BC160" s="153">
        <f t="shared" si="106"/>
        <v>9.6406438387930393E-11</v>
      </c>
      <c r="BD160" s="153">
        <f t="shared" si="106"/>
        <v>2.0954757928848267E-9</v>
      </c>
      <c r="BE160" s="153">
        <f t="shared" si="106"/>
        <v>-1.673470251262188E-10</v>
      </c>
      <c r="BF160" s="153">
        <f t="shared" si="106"/>
        <v>1.5459954738616943E-7</v>
      </c>
      <c r="BG160" s="153">
        <f t="shared" si="106"/>
        <v>-8.3819031715393066E-9</v>
      </c>
      <c r="BH160" s="153">
        <f t="shared" si="106"/>
        <v>0</v>
      </c>
      <c r="BI160" s="153">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605</v>
      </c>
      <c r="D177" t="s">
        <v>225</v>
      </c>
      <c r="E177" s="4">
        <f>'6.1 Investissements'!E182</f>
        <v>1441429.61</v>
      </c>
      <c r="F177" s="4">
        <f>'6.1 Investissements'!F182</f>
        <v>-213871.9</v>
      </c>
      <c r="G177" s="4">
        <f>'6.1 Investissements'!G182</f>
        <v>1711974.9000000004</v>
      </c>
      <c r="H177" s="4">
        <f>'6.1 Investissements'!H182</f>
        <v>-73816.650000000023</v>
      </c>
      <c r="I177" s="4">
        <f>'6.1 Investissements'!I182</f>
        <v>2181341.7800000003</v>
      </c>
      <c r="J177" s="4">
        <f>'6.1 Investissements'!J182</f>
        <v>1910540.2199999997</v>
      </c>
      <c r="K177" s="4">
        <f>'6.1 Investissements'!K182</f>
        <v>1074389.2400000002</v>
      </c>
      <c r="L177" s="4">
        <f>'6.1 Investissements'!L182</f>
        <v>14843351.189999998</v>
      </c>
      <c r="M177" s="4">
        <f>'6.1 Investissements'!M182</f>
        <v>259678.55</v>
      </c>
      <c r="N177" s="4">
        <f>'6.1 Investissements'!N182</f>
        <v>41267.75</v>
      </c>
      <c r="O177" s="4">
        <f>'6.1 Investissements'!O182</f>
        <v>2584951.25</v>
      </c>
      <c r="P177" s="4">
        <f>'6.1 Investissements'!P182</f>
        <v>31019.23000000001</v>
      </c>
      <c r="Q177" s="4">
        <f>'6.1 Investissements'!Q182</f>
        <v>0</v>
      </c>
      <c r="R177" s="4">
        <f>'6.1 Investissements'!R182</f>
        <v>19797.849999999999</v>
      </c>
      <c r="S177" s="4">
        <f>'6.1 Investissements'!S182</f>
        <v>171236.7</v>
      </c>
      <c r="T177" s="4">
        <f>'6.1 Investissements'!T182</f>
        <v>263158.75</v>
      </c>
      <c r="U177" s="4">
        <f>'6.1 Investissements'!U182</f>
        <v>114020.5</v>
      </c>
      <c r="V177" s="4">
        <f>'6.1 Investissements'!V182</f>
        <v>-95018.589999999967</v>
      </c>
      <c r="W177" s="4">
        <f>'6.1 Investissements'!W182</f>
        <v>340342.60000000033</v>
      </c>
      <c r="X177" s="4">
        <f>'6.1 Investissements'!X182</f>
        <v>67578.350000000006</v>
      </c>
      <c r="Y177" s="4">
        <f>'6.1 Investissements'!Y182</f>
        <v>-1037183.7999999998</v>
      </c>
      <c r="Z177" s="4">
        <f>'6.1 Investissements'!Z182</f>
        <v>503623.38</v>
      </c>
      <c r="AA177" s="4">
        <f>'6.1 Investissements'!AA182</f>
        <v>0</v>
      </c>
      <c r="AB177" s="4">
        <f>'6.1 Investissements'!AB182</f>
        <v>-43584.75</v>
      </c>
      <c r="AC177" s="4">
        <f>'6.1 Investissements'!AC182</f>
        <v>92793.8</v>
      </c>
      <c r="AD177" s="4">
        <f>'6.1 Investissements'!AD182</f>
        <v>563080.98</v>
      </c>
      <c r="AE177" s="4">
        <f>'6.1 Investissements'!AE182</f>
        <v>56302.700000000012</v>
      </c>
      <c r="AF177" s="4">
        <f>'6.1 Investissements'!AF182</f>
        <v>256378.40000000002</v>
      </c>
      <c r="AG177" s="4">
        <f>'6.1 Investissements'!AG182</f>
        <v>402753.39999999997</v>
      </c>
      <c r="AH177" s="4">
        <f>'6.1 Investissements'!AH182</f>
        <v>3937.6500000000233</v>
      </c>
      <c r="AI177" s="4">
        <f>'6.1 Investissements'!AI182</f>
        <v>9496.5499999999993</v>
      </c>
      <c r="AJ177" s="4">
        <f>'6.1 Investissements'!AJ182</f>
        <v>326865</v>
      </c>
      <c r="AK177" s="4">
        <f>'6.1 Investissements'!AK182</f>
        <v>2035877.68</v>
      </c>
      <c r="AL177" s="4">
        <f>'6.1 Investissements'!AL182</f>
        <v>713644.6</v>
      </c>
      <c r="AM177" s="4">
        <f>'6.1 Investissements'!AM182</f>
        <v>332171.75</v>
      </c>
      <c r="AN177" s="4">
        <f>'6.1 Investissements'!AN182</f>
        <v>562754</v>
      </c>
      <c r="AO177" s="4">
        <f>'6.1 Investissements'!AO182</f>
        <v>989111.14999999991</v>
      </c>
      <c r="AP177" s="4">
        <f>'6.1 Investissements'!AP182</f>
        <v>390825.24999999994</v>
      </c>
      <c r="AQ177" s="4">
        <f>'6.1 Investissements'!AQ182</f>
        <v>39386.100000000006</v>
      </c>
      <c r="AR177" s="4">
        <f>'6.1 Investissements'!AR182</f>
        <v>757217.90000000037</v>
      </c>
      <c r="AS177" s="4">
        <f>'6.1 Investissements'!AS182</f>
        <v>-81659.450000000012</v>
      </c>
      <c r="AT177" s="4">
        <f>'6.1 Investissements'!AT182</f>
        <v>183289.8</v>
      </c>
      <c r="AU177" s="4">
        <f>'6.1 Investissements'!AU182</f>
        <v>191917.3</v>
      </c>
      <c r="AV177" s="4">
        <f>'6.1 Investissements'!AV182</f>
        <v>606274.71000000008</v>
      </c>
      <c r="AW177" s="4">
        <f>'6.1 Investissements'!AW182</f>
        <v>53025.600000000006</v>
      </c>
      <c r="AX177" s="4">
        <f>'6.1 Investissements'!AX182</f>
        <v>49000</v>
      </c>
      <c r="AY177" s="4">
        <f>'6.1 Investissements'!AY182</f>
        <v>0</v>
      </c>
      <c r="AZ177" s="4">
        <f>'6.1 Investissements'!AZ182</f>
        <v>281.59999999999854</v>
      </c>
      <c r="BA177" s="4">
        <f>'6.1 Investissements'!BA182</f>
        <v>478773.55000000005</v>
      </c>
      <c r="BB177" s="4">
        <f>'6.1 Investissements'!BB182</f>
        <v>349925.75000000006</v>
      </c>
      <c r="BC177" s="4">
        <f>'6.1 Investissements'!BC182</f>
        <v>0</v>
      </c>
      <c r="BD177" s="4">
        <f>'6.1 Investissements'!BD182</f>
        <v>562904.31999999983</v>
      </c>
      <c r="BE177" s="4">
        <f>'6.1 Investissements'!BE182</f>
        <v>6219.65</v>
      </c>
      <c r="BF177" s="4">
        <f>'6.1 Investissements'!BF182</f>
        <v>36028775.899999999</v>
      </c>
      <c r="BG177" s="4">
        <f>'6.1 Investissements'!BG182</f>
        <v>26605792.979999997</v>
      </c>
      <c r="BH177" s="4">
        <f>'6.1 Investissements'!BH182</f>
        <v>1202041.6600000011</v>
      </c>
      <c r="BI177" s="4">
        <f>'6.1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8">
        <f t="shared" si="111"/>
        <v>5400</v>
      </c>
      <c r="J179" s="61">
        <f t="shared" si="111"/>
        <v>0</v>
      </c>
      <c r="K179" s="198">
        <f t="shared" si="111"/>
        <v>16855.350000000006</v>
      </c>
      <c r="L179" s="61">
        <f t="shared" si="111"/>
        <v>-15853.609999999404</v>
      </c>
      <c r="M179" s="61">
        <f t="shared" si="111"/>
        <v>0</v>
      </c>
      <c r="N179" s="61">
        <f t="shared" si="111"/>
        <v>0</v>
      </c>
      <c r="O179" s="61">
        <f t="shared" si="111"/>
        <v>0</v>
      </c>
      <c r="P179" s="198">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606</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607</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766</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777</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759</v>
      </c>
    </row>
    <row r="4" spans="1:3" ht="15.75" thickBot="1" x14ac:dyDescent="0.3">
      <c r="B4" t="s">
        <v>779</v>
      </c>
    </row>
    <row r="5" spans="1:3" ht="15.75" thickBot="1" x14ac:dyDescent="0.3">
      <c r="B5" s="174"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778</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779</v>
      </c>
    </row>
    <row r="5" spans="1:3" ht="15.75" thickBot="1" x14ac:dyDescent="0.3">
      <c r="B5" s="174"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778</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758</v>
      </c>
    </row>
    <row r="4" spans="1:5" ht="15.75" thickBot="1" x14ac:dyDescent="0.3">
      <c r="B4" t="s">
        <v>779</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1" t="s">
        <v>767</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771</v>
      </c>
      <c r="J3" s="43" t="s">
        <v>33</v>
      </c>
      <c r="K3" s="43" t="s">
        <v>28</v>
      </c>
      <c r="L3" s="43" t="s">
        <v>772</v>
      </c>
      <c r="M3" s="43" t="s">
        <v>16</v>
      </c>
      <c r="N3" s="43" t="s">
        <v>773</v>
      </c>
      <c r="O3" s="43" t="s">
        <v>774</v>
      </c>
      <c r="P3" s="43" t="s">
        <v>59</v>
      </c>
      <c r="Q3" s="43" t="s">
        <v>775</v>
      </c>
      <c r="R3" s="43" t="s">
        <v>776</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593</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592</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6">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594</v>
      </c>
      <c r="F217" s="4">
        <v>7061523.4400000004</v>
      </c>
      <c r="G217" s="4"/>
      <c r="H217" s="4">
        <v>711299.76</v>
      </c>
      <c r="I217" s="4">
        <v>816121.79</v>
      </c>
      <c r="J217" s="4">
        <v>1823324.54</v>
      </c>
      <c r="K217" s="4">
        <v>3427699.37</v>
      </c>
      <c r="L217" s="4"/>
      <c r="M217" s="4"/>
      <c r="N217" s="4"/>
      <c r="O217" s="4"/>
      <c r="P217" s="208">
        <v>1975551.27</v>
      </c>
      <c r="Q217" s="4"/>
      <c r="R217" s="4"/>
      <c r="S217" s="80">
        <f>SUM(F217:R217)</f>
        <v>15815520.170000002</v>
      </c>
      <c r="T217">
        <v>215</v>
      </c>
    </row>
    <row r="218" spans="3:20" x14ac:dyDescent="0.25">
      <c r="F218" s="4"/>
      <c r="G218" s="4"/>
      <c r="H218" s="4"/>
      <c r="I218" s="199"/>
      <c r="J218" s="4"/>
      <c r="K218" s="4"/>
      <c r="L218" s="4"/>
      <c r="M218" s="4"/>
      <c r="N218" s="4"/>
      <c r="O218" s="4"/>
      <c r="P218" s="153"/>
      <c r="Q218" s="4"/>
      <c r="R218" s="4"/>
      <c r="S218" s="80"/>
      <c r="T218">
        <v>216</v>
      </c>
    </row>
    <row r="219" spans="3:20" x14ac:dyDescent="0.25">
      <c r="C219" s="160"/>
      <c r="D219" s="160"/>
      <c r="E219" s="160" t="s">
        <v>601</v>
      </c>
      <c r="T219">
        <v>217</v>
      </c>
    </row>
    <row r="220" spans="3:20" x14ac:dyDescent="0.25">
      <c r="D220">
        <v>290</v>
      </c>
      <c r="E220" t="s">
        <v>600</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604</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603</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602</v>
      </c>
      <c r="F225" s="153">
        <f>F4-F120</f>
        <v>0</v>
      </c>
      <c r="G225" s="153">
        <f t="shared" ref="G225:S225" si="55">G4-G120</f>
        <v>0</v>
      </c>
      <c r="H225" s="153">
        <f t="shared" si="55"/>
        <v>0</v>
      </c>
      <c r="I225" s="153">
        <f t="shared" si="55"/>
        <v>0</v>
      </c>
      <c r="J225" s="153">
        <f t="shared" si="55"/>
        <v>0</v>
      </c>
      <c r="K225" s="153">
        <f t="shared" si="55"/>
        <v>0</v>
      </c>
      <c r="L225" s="153">
        <f t="shared" si="55"/>
        <v>0</v>
      </c>
      <c r="M225" s="153">
        <f t="shared" si="55"/>
        <v>0</v>
      </c>
      <c r="N225" s="153">
        <f t="shared" si="55"/>
        <v>0</v>
      </c>
      <c r="O225" s="153">
        <f t="shared" si="55"/>
        <v>0</v>
      </c>
      <c r="P225" s="153">
        <f t="shared" si="55"/>
        <v>0</v>
      </c>
      <c r="Q225" s="153">
        <f t="shared" si="55"/>
        <v>0</v>
      </c>
      <c r="R225" s="153">
        <f t="shared" si="55"/>
        <v>0</v>
      </c>
      <c r="S225" s="153">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760</v>
      </c>
      <c r="B1" s="7"/>
      <c r="C1" s="7"/>
      <c r="D1" s="7"/>
      <c r="E1" s="78"/>
    </row>
    <row r="3" spans="1:6" ht="15.75" thickBot="1" x14ac:dyDescent="0.3"/>
    <row r="4" spans="1:6" ht="15.75" thickBot="1" x14ac:dyDescent="0.3">
      <c r="A4" t="s">
        <v>770</v>
      </c>
      <c r="E4" s="174" t="s">
        <v>56</v>
      </c>
    </row>
    <row r="7" spans="1:6" ht="21" x14ac:dyDescent="0.35">
      <c r="A7" s="73">
        <v>1</v>
      </c>
      <c r="B7" s="73"/>
      <c r="C7" s="73"/>
      <c r="D7" s="73"/>
      <c r="E7" s="73" t="s">
        <v>246</v>
      </c>
      <c r="F7" s="175">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593</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592</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7">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594</v>
      </c>
      <c r="F220" s="4">
        <f>HLOOKUP($E$4,'Bourgeoisie bilan'!$F$3:$S$228,215,0)</f>
        <v>7061523.4400000004</v>
      </c>
    </row>
    <row r="221" spans="3:6" x14ac:dyDescent="0.25">
      <c r="F221" s="4"/>
    </row>
    <row r="222" spans="3:6" x14ac:dyDescent="0.25">
      <c r="C222" s="160"/>
      <c r="D222" s="160"/>
      <c r="E222" s="160" t="s">
        <v>601</v>
      </c>
      <c r="F222" s="4">
        <f>HLOOKUP($E$4,'Bourgeoisie bilan'!$F$3:$S$228,217,0)</f>
        <v>0</v>
      </c>
    </row>
    <row r="223" spans="3:6" x14ac:dyDescent="0.25">
      <c r="D223">
        <v>290</v>
      </c>
      <c r="E223" t="s">
        <v>600</v>
      </c>
      <c r="F223" s="4">
        <f>HLOOKUP($E$4,'Bourgeoisie bilan'!$F$3:$S$228,218,0)</f>
        <v>0</v>
      </c>
    </row>
    <row r="224" spans="3:6" x14ac:dyDescent="0.25">
      <c r="D224">
        <v>2990</v>
      </c>
      <c r="E224" t="s">
        <v>604</v>
      </c>
      <c r="F224" s="4">
        <f>HLOOKUP($E$4,'Bourgeoisie bilan'!$F$3:$S$228,219,0)</f>
        <v>29125.87</v>
      </c>
    </row>
    <row r="225" spans="5:6" x14ac:dyDescent="0.25">
      <c r="F225" s="4"/>
    </row>
    <row r="226" spans="5:6" x14ac:dyDescent="0.25">
      <c r="E226" s="7" t="s">
        <v>603</v>
      </c>
      <c r="F226" s="4">
        <f>HLOOKUP($E$4,'Bourgeoisie bilan'!$F$3:$S$228,221,0)</f>
        <v>29125.87</v>
      </c>
    </row>
    <row r="227" spans="5:6" x14ac:dyDescent="0.25">
      <c r="F227" s="4">
        <f>HLOOKUP($E$4,'Bourgeoisie bilan'!$F$3:$S$228,222,0)</f>
        <v>0</v>
      </c>
    </row>
    <row r="228" spans="5:6" x14ac:dyDescent="0.25">
      <c r="E228" s="60" t="s">
        <v>602</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3" t="s">
        <v>777</v>
      </c>
      <c r="B2" s="7"/>
    </row>
    <row r="3" spans="1:16" ht="15" customHeight="1" x14ac:dyDescent="0.25">
      <c r="A3" s="7"/>
      <c r="B3" s="7"/>
    </row>
    <row r="4" spans="1:16" ht="15" customHeight="1" x14ac:dyDescent="0.4">
      <c r="A4" s="42"/>
      <c r="B4" s="7"/>
    </row>
    <row r="5" spans="1:16" x14ac:dyDescent="0.25">
      <c r="A5" s="184"/>
      <c r="C5" s="57"/>
      <c r="D5" s="57"/>
      <c r="E5" s="57"/>
      <c r="F5" s="57"/>
      <c r="G5" s="57"/>
      <c r="H5" s="57"/>
      <c r="I5" s="57"/>
      <c r="J5" s="57"/>
      <c r="K5" s="57"/>
      <c r="L5" s="57"/>
      <c r="M5" s="57"/>
      <c r="N5" s="57"/>
      <c r="O5" s="57"/>
      <c r="P5" s="57"/>
    </row>
    <row r="6" spans="1:16" x14ac:dyDescent="0.25">
      <c r="C6" s="43" t="s">
        <v>56</v>
      </c>
      <c r="D6" s="43" t="s">
        <v>18</v>
      </c>
      <c r="E6" s="43" t="s">
        <v>57</v>
      </c>
      <c r="F6" s="43" t="s">
        <v>771</v>
      </c>
      <c r="G6" s="43" t="s">
        <v>33</v>
      </c>
      <c r="H6" s="43" t="s">
        <v>28</v>
      </c>
      <c r="I6" s="43" t="s">
        <v>772</v>
      </c>
      <c r="J6" s="43" t="s">
        <v>16</v>
      </c>
      <c r="K6" s="43" t="s">
        <v>773</v>
      </c>
      <c r="L6" s="43" t="s">
        <v>774</v>
      </c>
      <c r="M6" s="43" t="s">
        <v>59</v>
      </c>
      <c r="N6" s="43" t="s">
        <v>775</v>
      </c>
      <c r="O6" s="43" t="s">
        <v>776</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577</v>
      </c>
      <c r="C20" s="180">
        <f>C11+C13+C15-C17</f>
        <v>3081680.2</v>
      </c>
      <c r="D20" s="180">
        <f t="shared" ref="D20:O20" si="0">D11+D13+D15-D17</f>
        <v>0</v>
      </c>
      <c r="E20" s="180">
        <f t="shared" si="0"/>
        <v>291425.59999999998</v>
      </c>
      <c r="F20" s="180">
        <f t="shared" si="0"/>
        <v>0</v>
      </c>
      <c r="G20" s="180">
        <f t="shared" si="0"/>
        <v>410794.05</v>
      </c>
      <c r="H20" s="180">
        <f t="shared" si="0"/>
        <v>3427101.65</v>
      </c>
      <c r="I20" s="180">
        <f t="shared" si="0"/>
        <v>0</v>
      </c>
      <c r="J20" s="180">
        <f t="shared" si="0"/>
        <v>0</v>
      </c>
      <c r="K20" s="180">
        <f t="shared" si="0"/>
        <v>0</v>
      </c>
      <c r="L20" s="180">
        <f t="shared" si="0"/>
        <v>0</v>
      </c>
      <c r="M20" s="180">
        <f t="shared" si="0"/>
        <v>0</v>
      </c>
      <c r="N20" s="180">
        <f t="shared" si="0"/>
        <v>0</v>
      </c>
      <c r="O20" s="180">
        <f t="shared" si="0"/>
        <v>0</v>
      </c>
      <c r="P20" s="180">
        <f>SUM(C20:O20)</f>
        <v>7211001.5</v>
      </c>
    </row>
    <row r="21" spans="1:16" x14ac:dyDescent="0.25">
      <c r="A21" s="67"/>
      <c r="B21" s="7"/>
      <c r="C21" s="181"/>
      <c r="D21" s="181"/>
      <c r="E21" s="181"/>
      <c r="F21" s="181"/>
      <c r="G21" s="181"/>
      <c r="H21" s="181"/>
      <c r="I21" s="181"/>
      <c r="J21" s="181"/>
      <c r="K21" s="181"/>
      <c r="L21" s="181"/>
      <c r="M21" s="181"/>
      <c r="N21" s="181"/>
      <c r="O21" s="181"/>
      <c r="P21" s="181"/>
    </row>
    <row r="22" spans="1:16" x14ac:dyDescent="0.25">
      <c r="A22" s="67"/>
      <c r="B22" s="99" t="s">
        <v>509</v>
      </c>
      <c r="C22" s="180">
        <f t="shared" ref="C22:O22" si="1">C9-C7</f>
        <v>-5153658.6999999993</v>
      </c>
      <c r="D22" s="180">
        <f t="shared" si="1"/>
        <v>0</v>
      </c>
      <c r="E22" s="180">
        <f t="shared" si="1"/>
        <v>-100196.82</v>
      </c>
      <c r="F22" s="180">
        <f t="shared" si="1"/>
        <v>-274399.86000000004</v>
      </c>
      <c r="G22" s="180">
        <f t="shared" si="1"/>
        <v>-696064.59</v>
      </c>
      <c r="H22" s="180">
        <f t="shared" si="1"/>
        <v>-27565738.919999998</v>
      </c>
      <c r="I22" s="180">
        <f t="shared" si="1"/>
        <v>0</v>
      </c>
      <c r="J22" s="180">
        <f t="shared" si="1"/>
        <v>0</v>
      </c>
      <c r="K22" s="180">
        <f t="shared" si="1"/>
        <v>0</v>
      </c>
      <c r="L22" s="180">
        <f t="shared" si="1"/>
        <v>0</v>
      </c>
      <c r="M22" s="180">
        <f t="shared" si="1"/>
        <v>-1273171</v>
      </c>
      <c r="N22" s="180">
        <f t="shared" si="1"/>
        <v>0</v>
      </c>
      <c r="O22" s="180">
        <f t="shared" si="1"/>
        <v>0</v>
      </c>
      <c r="P22" s="180">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781</v>
      </c>
      <c r="B1" s="7"/>
    </row>
    <row r="2" spans="1:3" ht="15" customHeight="1" x14ac:dyDescent="0.4">
      <c r="A2" s="42"/>
      <c r="B2" s="7"/>
    </row>
    <row r="3" spans="1:3" ht="15" customHeight="1" thickBot="1" x14ac:dyDescent="0.3">
      <c r="A3" s="7"/>
      <c r="B3" s="156" t="s">
        <v>779</v>
      </c>
    </row>
    <row r="4" spans="1:3" ht="15" customHeight="1" thickBot="1" x14ac:dyDescent="0.45">
      <c r="A4" s="42"/>
      <c r="B4" s="179" t="s">
        <v>28</v>
      </c>
    </row>
    <row r="5" spans="1:3" ht="15" customHeight="1" x14ac:dyDescent="0.25">
      <c r="C5" s="65"/>
    </row>
    <row r="6" spans="1:3" ht="15" customHeight="1" x14ac:dyDescent="0.25">
      <c r="C6" s="182"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577</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09" t="s">
        <v>60</v>
      </c>
      <c r="B4" s="4"/>
    </row>
    <row r="5" spans="1:2" x14ac:dyDescent="0.25">
      <c r="A5" s="78" t="s">
        <v>786</v>
      </c>
      <c r="B5" s="4">
        <f>'4.1 Comptes 2020 natures'!BF5</f>
        <v>68720627.850000009</v>
      </c>
    </row>
    <row r="6" spans="1:2" x14ac:dyDescent="0.25">
      <c r="A6" s="78" t="s">
        <v>787</v>
      </c>
      <c r="B6" s="4">
        <f>'4.1 Comptes 2020 natures'!BF15</f>
        <v>71449713.730000019</v>
      </c>
    </row>
    <row r="7" spans="1:2" x14ac:dyDescent="0.25">
      <c r="A7" s="78" t="s">
        <v>788</v>
      </c>
      <c r="B7" s="4">
        <f>'4.1 Comptes 2020 natures'!BF27</f>
        <v>22755841.089999996</v>
      </c>
    </row>
    <row r="8" spans="1:2" x14ac:dyDescent="0.25">
      <c r="A8" s="78" t="s">
        <v>789</v>
      </c>
      <c r="B8" s="4">
        <f>'4.1 Comptes 2020 natures'!BF31</f>
        <v>9277984.3499999978</v>
      </c>
    </row>
    <row r="9" spans="1:2" x14ac:dyDescent="0.25">
      <c r="A9" s="78" t="s">
        <v>790</v>
      </c>
      <c r="B9" s="4">
        <f>'4.1 Comptes 2020 natures'!BF39</f>
        <v>2143078.8400000003</v>
      </c>
    </row>
    <row r="10" spans="1:2" x14ac:dyDescent="0.25">
      <c r="A10" s="78" t="s">
        <v>791</v>
      </c>
      <c r="B10" s="4">
        <f>'4.1 Comptes 2020 natures'!BF43</f>
        <v>188221332.50000003</v>
      </c>
    </row>
    <row r="11" spans="1:2" x14ac:dyDescent="0.25">
      <c r="A11" s="78" t="s">
        <v>792</v>
      </c>
      <c r="B11" s="4">
        <f>'4.1 Comptes 2020 natures'!BF53</f>
        <v>2475574.8499999996</v>
      </c>
    </row>
    <row r="12" spans="1:2" x14ac:dyDescent="0.25">
      <c r="A12" s="78" t="s">
        <v>793</v>
      </c>
      <c r="B12" s="4">
        <f>'4.1 Comptes 2020 natures'!BF56</f>
        <v>5292667.4400000004</v>
      </c>
    </row>
    <row r="13" spans="1:2" x14ac:dyDescent="0.25">
      <c r="A13" s="78" t="s">
        <v>794</v>
      </c>
      <c r="B13" s="4">
        <f>'4.1 Comptes 2020 natures'!BF64</f>
        <v>8645338.1600000001</v>
      </c>
    </row>
    <row r="14" spans="1:2" x14ac:dyDescent="0.25">
      <c r="A14" s="79"/>
      <c r="B14" s="4"/>
    </row>
    <row r="15" spans="1:2" ht="21" x14ac:dyDescent="0.35">
      <c r="A15" s="209" t="s">
        <v>137</v>
      </c>
      <c r="B15" s="4"/>
    </row>
    <row r="16" spans="1:2" x14ac:dyDescent="0.25">
      <c r="A16" s="78" t="s">
        <v>795</v>
      </c>
      <c r="B16" s="4">
        <f>'4.1 Comptes 2020 natures'!BF76</f>
        <v>219315688.26000002</v>
      </c>
    </row>
    <row r="17" spans="1:2" x14ac:dyDescent="0.25">
      <c r="A17" s="78" t="s">
        <v>796</v>
      </c>
      <c r="B17" s="4">
        <f>'4.1 Comptes 2020 natures'!BF82</f>
        <v>1014852.6699999999</v>
      </c>
    </row>
    <row r="18" spans="1:2" x14ac:dyDescent="0.25">
      <c r="A18" s="78" t="s">
        <v>797</v>
      </c>
      <c r="B18" s="4">
        <f>'4.1 Comptes 2020 natures'!BF88</f>
        <v>74575696.230000019</v>
      </c>
    </row>
    <row r="19" spans="1:2" x14ac:dyDescent="0.25">
      <c r="A19" s="78" t="s">
        <v>798</v>
      </c>
      <c r="B19" s="4">
        <f>'4.1 Comptes 2020 natures'!BF99</f>
        <v>1741348.8899999997</v>
      </c>
    </row>
    <row r="20" spans="1:2" x14ac:dyDescent="0.25">
      <c r="A20" s="78" t="s">
        <v>799</v>
      </c>
      <c r="B20" s="4">
        <f>'4.1 Comptes 2020 natures'!BF105</f>
        <v>13891621.57</v>
      </c>
    </row>
    <row r="21" spans="1:2" x14ac:dyDescent="0.25">
      <c r="A21" s="78" t="s">
        <v>800</v>
      </c>
      <c r="B21" s="4">
        <f>'4.1 Comptes 2020 natures'!BF117</f>
        <v>1308254.75</v>
      </c>
    </row>
    <row r="22" spans="1:2" x14ac:dyDescent="0.25">
      <c r="A22" s="78" t="s">
        <v>801</v>
      </c>
      <c r="B22" s="4">
        <f>'4.1 Comptes 2020 natures'!BF121</f>
        <v>64732664.279999994</v>
      </c>
    </row>
    <row r="23" spans="1:2" x14ac:dyDescent="0.25">
      <c r="A23" s="78" t="s">
        <v>802</v>
      </c>
      <c r="B23" s="4">
        <f>'4.1 Comptes 2020 natures'!BF128</f>
        <v>2079314.8499999999</v>
      </c>
    </row>
    <row r="24" spans="1:2" x14ac:dyDescent="0.25">
      <c r="A24" s="78" t="s">
        <v>803</v>
      </c>
      <c r="B24" s="4">
        <f>'4.1 Comptes 2020 natures'!BF131</f>
        <v>2567175.7000000002</v>
      </c>
    </row>
    <row r="25" spans="1:2" x14ac:dyDescent="0.25">
      <c r="A25" s="78" t="s">
        <v>804</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1" t="s">
        <v>767</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771</v>
      </c>
      <c r="I3" s="43" t="s">
        <v>33</v>
      </c>
      <c r="J3" s="43" t="s">
        <v>28</v>
      </c>
      <c r="K3" s="43" t="s">
        <v>772</v>
      </c>
      <c r="L3" s="43" t="s">
        <v>16</v>
      </c>
      <c r="M3" s="43" t="s">
        <v>773</v>
      </c>
      <c r="N3" s="43" t="s">
        <v>774</v>
      </c>
      <c r="O3" s="43" t="s">
        <v>59</v>
      </c>
      <c r="P3" s="43" t="s">
        <v>775</v>
      </c>
      <c r="Q3" s="43" t="s">
        <v>776</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764</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780</v>
      </c>
      <c r="B1" s="7"/>
      <c r="C1" s="7"/>
      <c r="D1" s="7"/>
    </row>
    <row r="3" spans="1:5" ht="15.75" thickBot="1" x14ac:dyDescent="0.3"/>
    <row r="4" spans="1:5" ht="15.75" thickBot="1" x14ac:dyDescent="0.3">
      <c r="A4" t="s">
        <v>770</v>
      </c>
      <c r="D4" s="174" t="s">
        <v>28</v>
      </c>
    </row>
    <row r="7" spans="1:5" ht="21" x14ac:dyDescent="0.35">
      <c r="A7" s="102">
        <v>5</v>
      </c>
      <c r="B7" s="102"/>
      <c r="C7" s="102"/>
      <c r="D7" s="102" t="s">
        <v>193</v>
      </c>
      <c r="E7" s="185">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6">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8" t="s">
        <v>225</v>
      </c>
      <c r="E185" s="189">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2" t="s">
        <v>768</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595</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3"/>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3">
        <f t="shared" ref="E162:N162" si="111">E157-E161</f>
        <v>0</v>
      </c>
      <c r="F162" s="153">
        <f t="shared" si="111"/>
        <v>0</v>
      </c>
      <c r="G162" s="153">
        <f t="shared" si="111"/>
        <v>0</v>
      </c>
      <c r="H162" s="153">
        <f t="shared" si="111"/>
        <v>0</v>
      </c>
      <c r="I162" s="153">
        <f t="shared" si="111"/>
        <v>0</v>
      </c>
      <c r="J162" s="153">
        <f t="shared" si="111"/>
        <v>0</v>
      </c>
      <c r="K162" s="153">
        <f t="shared" si="111"/>
        <v>0</v>
      </c>
      <c r="L162" s="153">
        <f t="shared" si="111"/>
        <v>0</v>
      </c>
      <c r="M162" s="153">
        <f t="shared" si="111"/>
        <v>0</v>
      </c>
      <c r="N162" s="153">
        <f t="shared" si="111"/>
        <v>0</v>
      </c>
      <c r="O162" s="153">
        <f>O157-O161</f>
        <v>0</v>
      </c>
      <c r="P162" s="153">
        <f t="shared" ref="P162:BI162" si="112">P157-P161</f>
        <v>0</v>
      </c>
      <c r="Q162" s="153">
        <f t="shared" si="112"/>
        <v>0</v>
      </c>
      <c r="R162" s="153">
        <f t="shared" si="112"/>
        <v>0</v>
      </c>
      <c r="S162" s="153">
        <f t="shared" si="112"/>
        <v>0</v>
      </c>
      <c r="T162" s="153">
        <f t="shared" si="112"/>
        <v>0</v>
      </c>
      <c r="U162" s="153">
        <f t="shared" si="112"/>
        <v>0</v>
      </c>
      <c r="V162" s="153">
        <f t="shared" si="112"/>
        <v>0</v>
      </c>
      <c r="W162" s="153">
        <f t="shared" si="112"/>
        <v>0</v>
      </c>
      <c r="X162" s="153">
        <f t="shared" si="112"/>
        <v>0</v>
      </c>
      <c r="Y162" s="153">
        <f t="shared" si="112"/>
        <v>0</v>
      </c>
      <c r="Z162" s="153">
        <f t="shared" si="112"/>
        <v>0</v>
      </c>
      <c r="AA162" s="153">
        <f t="shared" si="112"/>
        <v>0</v>
      </c>
      <c r="AB162" s="153">
        <f t="shared" si="112"/>
        <v>0</v>
      </c>
      <c r="AC162" s="153">
        <f t="shared" si="112"/>
        <v>0</v>
      </c>
      <c r="AD162" s="153">
        <f t="shared" si="112"/>
        <v>0</v>
      </c>
      <c r="AE162" s="153">
        <f t="shared" si="112"/>
        <v>0</v>
      </c>
      <c r="AF162" s="153">
        <f t="shared" si="112"/>
        <v>0</v>
      </c>
      <c r="AG162" s="153">
        <f t="shared" si="112"/>
        <v>0</v>
      </c>
      <c r="AH162" s="153">
        <f t="shared" si="112"/>
        <v>0</v>
      </c>
      <c r="AI162" s="153">
        <f t="shared" si="112"/>
        <v>0</v>
      </c>
      <c r="AJ162" s="153">
        <f t="shared" si="112"/>
        <v>0</v>
      </c>
      <c r="AK162" s="153">
        <f t="shared" si="112"/>
        <v>0</v>
      </c>
      <c r="AL162" s="153">
        <f t="shared" si="112"/>
        <v>0</v>
      </c>
      <c r="AM162" s="153">
        <f t="shared" si="112"/>
        <v>0</v>
      </c>
      <c r="AN162" s="153">
        <f t="shared" si="112"/>
        <v>0</v>
      </c>
      <c r="AO162" s="153">
        <f t="shared" si="112"/>
        <v>0</v>
      </c>
      <c r="AP162" s="153">
        <f t="shared" si="112"/>
        <v>0</v>
      </c>
      <c r="AQ162" s="153">
        <f t="shared" si="112"/>
        <v>0</v>
      </c>
      <c r="AR162" s="153">
        <f t="shared" si="112"/>
        <v>0</v>
      </c>
      <c r="AS162" s="153">
        <f t="shared" si="112"/>
        <v>0</v>
      </c>
      <c r="AT162" s="153">
        <f t="shared" si="112"/>
        <v>0</v>
      </c>
      <c r="AU162" s="153">
        <f t="shared" si="112"/>
        <v>0</v>
      </c>
      <c r="AV162" s="153">
        <f t="shared" si="112"/>
        <v>0</v>
      </c>
      <c r="AW162" s="153">
        <f t="shared" si="112"/>
        <v>0</v>
      </c>
      <c r="AX162" s="153">
        <f t="shared" si="112"/>
        <v>0</v>
      </c>
      <c r="AY162" s="153">
        <f t="shared" si="112"/>
        <v>0</v>
      </c>
      <c r="AZ162" s="153">
        <f t="shared" si="112"/>
        <v>0</v>
      </c>
      <c r="BA162" s="153">
        <f t="shared" si="112"/>
        <v>0</v>
      </c>
      <c r="BB162" s="153">
        <f t="shared" si="112"/>
        <v>0</v>
      </c>
      <c r="BC162" s="153">
        <f t="shared" si="112"/>
        <v>0</v>
      </c>
      <c r="BD162" s="153">
        <f t="shared" si="112"/>
        <v>0</v>
      </c>
      <c r="BE162" s="153">
        <f t="shared" si="112"/>
        <v>0</v>
      </c>
      <c r="BF162" s="153">
        <f t="shared" si="112"/>
        <v>0</v>
      </c>
      <c r="BG162" s="153">
        <f t="shared" si="112"/>
        <v>0</v>
      </c>
      <c r="BH162" s="153">
        <f t="shared" si="112"/>
        <v>0</v>
      </c>
      <c r="BI162" s="153">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8">
        <f t="shared" si="113"/>
        <v>0</v>
      </c>
      <c r="J164" s="61">
        <f t="shared" si="113"/>
        <v>0</v>
      </c>
      <c r="K164" s="198">
        <f t="shared" si="113"/>
        <v>0</v>
      </c>
      <c r="L164" s="61">
        <f t="shared" si="113"/>
        <v>0</v>
      </c>
      <c r="M164" s="61">
        <f t="shared" si="113"/>
        <v>0</v>
      </c>
      <c r="N164" s="61">
        <f t="shared" si="113"/>
        <v>0</v>
      </c>
      <c r="O164" s="61">
        <f t="shared" si="113"/>
        <v>0</v>
      </c>
      <c r="P164" s="198">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606</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607</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769</v>
      </c>
      <c r="D5" s="174" t="s">
        <v>27</v>
      </c>
    </row>
    <row r="7" spans="1:5" x14ac:dyDescent="0.25">
      <c r="E7" s="65" t="s">
        <v>205</v>
      </c>
    </row>
    <row r="8" spans="1:5" ht="21" x14ac:dyDescent="0.35">
      <c r="A8" s="92">
        <v>3</v>
      </c>
      <c r="B8" s="92"/>
      <c r="C8" s="92"/>
      <c r="D8" s="92" t="s">
        <v>60</v>
      </c>
      <c r="E8" s="171">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595</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2">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'6.1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'6.1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'6.1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'6.1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759</v>
      </c>
    </row>
    <row r="4" spans="1:3" ht="15.75" thickBot="1" x14ac:dyDescent="0.3">
      <c r="B4" t="s">
        <v>608</v>
      </c>
    </row>
    <row r="5" spans="1:3" ht="15.75" thickBot="1" x14ac:dyDescent="0.3">
      <c r="B5" s="174"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608</v>
      </c>
    </row>
    <row r="5" spans="1:3" ht="15.75" thickBot="1" x14ac:dyDescent="0.3">
      <c r="B5" s="174"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1" t="s">
        <v>767</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593</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592</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6"/>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0">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594</v>
      </c>
      <c r="F217" s="4"/>
      <c r="G217" s="4"/>
      <c r="H217" s="4"/>
      <c r="I217" s="4"/>
      <c r="J217" s="4"/>
      <c r="K217" s="4"/>
      <c r="L217" s="4"/>
      <c r="M217" s="4"/>
      <c r="N217" s="4"/>
      <c r="O217" s="4"/>
      <c r="P217" s="153"/>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199"/>
      <c r="J218" s="4"/>
      <c r="K218" s="4"/>
      <c r="L218" s="4"/>
      <c r="M218" s="4"/>
      <c r="N218" s="4"/>
      <c r="O218" s="4"/>
      <c r="P218" s="153"/>
      <c r="Q218" s="4"/>
      <c r="R218" s="4"/>
      <c r="S218" s="4"/>
      <c r="T218" s="4"/>
      <c r="U218" s="4"/>
      <c r="V218" s="4"/>
      <c r="W218" s="4"/>
      <c r="X218" s="4"/>
      <c r="Y218" s="4"/>
      <c r="Z218" s="4"/>
      <c r="AA218" s="4"/>
      <c r="AB218" s="4"/>
      <c r="AC218" s="4"/>
      <c r="AD218" s="4"/>
      <c r="AE218" s="4"/>
      <c r="AF218" s="4"/>
      <c r="AG218" s="4"/>
      <c r="AH218" s="4"/>
      <c r="AI218" s="4"/>
      <c r="AJ218" s="4"/>
      <c r="AK218" s="4"/>
      <c r="AL218" s="199"/>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0"/>
      <c r="D219" s="160"/>
      <c r="E219" s="160" t="s">
        <v>601</v>
      </c>
    </row>
    <row r="220" spans="3:62" x14ac:dyDescent="0.25">
      <c r="D220">
        <v>290</v>
      </c>
      <c r="E220" t="s">
        <v>600</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604</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603</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602</v>
      </c>
      <c r="F225" s="153">
        <f>F4-F120</f>
        <v>0</v>
      </c>
      <c r="G225" s="153">
        <f t="shared" ref="G225:BJ225" si="54">G4-G120</f>
        <v>0</v>
      </c>
      <c r="H225" s="153">
        <f t="shared" si="54"/>
        <v>0</v>
      </c>
      <c r="I225" s="153">
        <f t="shared" si="54"/>
        <v>0</v>
      </c>
      <c r="J225" s="153">
        <f t="shared" si="54"/>
        <v>0</v>
      </c>
      <c r="K225" s="153">
        <f t="shared" si="54"/>
        <v>0</v>
      </c>
      <c r="L225" s="153">
        <f t="shared" si="54"/>
        <v>0</v>
      </c>
      <c r="M225" s="153">
        <f t="shared" si="54"/>
        <v>0</v>
      </c>
      <c r="N225" s="153">
        <f t="shared" si="54"/>
        <v>0</v>
      </c>
      <c r="O225" s="153">
        <f t="shared" si="54"/>
        <v>0</v>
      </c>
      <c r="P225" s="153">
        <f t="shared" si="54"/>
        <v>0</v>
      </c>
      <c r="Q225" s="153">
        <f t="shared" si="54"/>
        <v>0</v>
      </c>
      <c r="R225" s="153">
        <f t="shared" si="54"/>
        <v>0</v>
      </c>
      <c r="S225" s="153">
        <f t="shared" si="54"/>
        <v>0</v>
      </c>
      <c r="T225" s="153">
        <f t="shared" si="54"/>
        <v>0</v>
      </c>
      <c r="U225" s="153">
        <f t="shared" si="54"/>
        <v>0</v>
      </c>
      <c r="V225" s="153">
        <f t="shared" si="54"/>
        <v>0</v>
      </c>
      <c r="W225" s="153">
        <f t="shared" si="54"/>
        <v>0</v>
      </c>
      <c r="X225" s="153">
        <f t="shared" si="54"/>
        <v>0</v>
      </c>
      <c r="Y225" s="153">
        <f t="shared" si="54"/>
        <v>0</v>
      </c>
      <c r="Z225" s="153">
        <f t="shared" si="54"/>
        <v>0</v>
      </c>
      <c r="AA225" s="153">
        <f t="shared" si="54"/>
        <v>0</v>
      </c>
      <c r="AB225" s="153">
        <f t="shared" si="54"/>
        <v>0</v>
      </c>
      <c r="AC225" s="153">
        <f t="shared" si="54"/>
        <v>0</v>
      </c>
      <c r="AD225" s="153">
        <f t="shared" si="54"/>
        <v>0</v>
      </c>
      <c r="AE225" s="153">
        <f t="shared" si="54"/>
        <v>0</v>
      </c>
      <c r="AF225" s="153">
        <f t="shared" si="54"/>
        <v>0</v>
      </c>
      <c r="AG225" s="153">
        <f t="shared" si="54"/>
        <v>0</v>
      </c>
      <c r="AH225" s="153">
        <f t="shared" si="54"/>
        <v>0</v>
      </c>
      <c r="AI225" s="153">
        <f t="shared" si="54"/>
        <v>0</v>
      </c>
      <c r="AJ225" s="153">
        <f t="shared" si="54"/>
        <v>0</v>
      </c>
      <c r="AK225" s="153">
        <f t="shared" si="54"/>
        <v>0</v>
      </c>
      <c r="AL225" s="153">
        <f t="shared" si="54"/>
        <v>0</v>
      </c>
      <c r="AM225" s="153">
        <f t="shared" si="54"/>
        <v>0</v>
      </c>
      <c r="AN225" s="153">
        <f t="shared" si="54"/>
        <v>0</v>
      </c>
      <c r="AO225" s="153">
        <f t="shared" si="54"/>
        <v>0</v>
      </c>
      <c r="AP225" s="153">
        <f t="shared" si="54"/>
        <v>0</v>
      </c>
      <c r="AQ225" s="153">
        <f t="shared" si="54"/>
        <v>0</v>
      </c>
      <c r="AR225" s="153">
        <f t="shared" si="54"/>
        <v>0</v>
      </c>
      <c r="AS225" s="153">
        <f t="shared" si="54"/>
        <v>0</v>
      </c>
      <c r="AT225" s="153">
        <f t="shared" si="54"/>
        <v>0</v>
      </c>
      <c r="AU225" s="153">
        <f t="shared" si="54"/>
        <v>0</v>
      </c>
      <c r="AV225" s="153">
        <f t="shared" si="54"/>
        <v>0</v>
      </c>
      <c r="AW225" s="153">
        <f t="shared" si="54"/>
        <v>0</v>
      </c>
      <c r="AX225" s="153">
        <f t="shared" si="54"/>
        <v>0</v>
      </c>
      <c r="AY225" s="153">
        <f t="shared" si="54"/>
        <v>0</v>
      </c>
      <c r="AZ225" s="153">
        <f t="shared" si="54"/>
        <v>0</v>
      </c>
      <c r="BA225" s="153">
        <f t="shared" si="54"/>
        <v>0</v>
      </c>
      <c r="BB225" s="153">
        <f t="shared" si="54"/>
        <v>0</v>
      </c>
      <c r="BC225" s="153">
        <f t="shared" si="54"/>
        <v>0</v>
      </c>
      <c r="BD225" s="153">
        <f t="shared" si="54"/>
        <v>0</v>
      </c>
      <c r="BE225" s="153">
        <f t="shared" si="54"/>
        <v>0</v>
      </c>
      <c r="BF225" s="153">
        <f t="shared" si="54"/>
        <v>0</v>
      </c>
      <c r="BG225" s="153">
        <f t="shared" si="54"/>
        <v>0</v>
      </c>
      <c r="BH225" s="153">
        <f t="shared" si="54"/>
        <v>0</v>
      </c>
      <c r="BI225" s="153">
        <f t="shared" si="54"/>
        <v>0</v>
      </c>
      <c r="BJ225" s="153">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760</v>
      </c>
      <c r="B1" s="7"/>
      <c r="C1" s="7"/>
      <c r="D1" s="7"/>
      <c r="E1" s="78"/>
    </row>
    <row r="3" spans="1:6" ht="15.75" thickBot="1" x14ac:dyDescent="0.3"/>
    <row r="4" spans="1:6" ht="15.75" thickBot="1" x14ac:dyDescent="0.3">
      <c r="A4" t="s">
        <v>652</v>
      </c>
      <c r="E4" s="174" t="s">
        <v>25</v>
      </c>
    </row>
    <row r="7" spans="1:6" ht="21" x14ac:dyDescent="0.35">
      <c r="A7" s="73">
        <v>1</v>
      </c>
      <c r="B7" s="73"/>
      <c r="C7" s="73"/>
      <c r="D7" s="73"/>
      <c r="E7" s="73" t="s">
        <v>246</v>
      </c>
      <c r="F7" s="175">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6">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593</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592</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7">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594</v>
      </c>
      <c r="F220" s="4">
        <f>HLOOKUP($E$4,'5. Bilan'!$F$3:$BF$226,215,0)</f>
        <v>341240.73</v>
      </c>
    </row>
    <row r="221" spans="3:6" x14ac:dyDescent="0.25">
      <c r="F221" s="4"/>
    </row>
    <row r="222" spans="3:6" x14ac:dyDescent="0.25">
      <c r="C222" s="160"/>
      <c r="D222" s="160"/>
      <c r="E222" s="160" t="s">
        <v>601</v>
      </c>
      <c r="F222" s="178"/>
    </row>
    <row r="223" spans="3:6" x14ac:dyDescent="0.25">
      <c r="D223">
        <v>290</v>
      </c>
      <c r="E223" t="s">
        <v>600</v>
      </c>
      <c r="F223" s="4">
        <f>HLOOKUP($E$4,'5. Bilan'!$F$3:$BF$226,218,0)</f>
        <v>41403.599999999999</v>
      </c>
    </row>
    <row r="224" spans="3:6" x14ac:dyDescent="0.25">
      <c r="D224">
        <v>2990</v>
      </c>
      <c r="E224" t="s">
        <v>604</v>
      </c>
      <c r="F224" s="4">
        <f>HLOOKUP($E$4,'5. Bilan'!$F$3:$BF$226,219,0)</f>
        <v>26545.08</v>
      </c>
    </row>
    <row r="225" spans="5:6" x14ac:dyDescent="0.25">
      <c r="F225" s="4"/>
    </row>
    <row r="226" spans="5:6" x14ac:dyDescent="0.25">
      <c r="E226" s="7" t="s">
        <v>603</v>
      </c>
      <c r="F226" s="4">
        <f>HLOOKUP($E$4,'5. Bilan'!$F$3:$BF$226,221,0)</f>
        <v>67948.679999999993</v>
      </c>
    </row>
    <row r="227" spans="5:6" x14ac:dyDescent="0.25">
      <c r="F227" s="4"/>
    </row>
    <row r="228" spans="5:6" x14ac:dyDescent="0.25">
      <c r="E228" s="60" t="s">
        <v>602</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4" t="s">
        <v>783</v>
      </c>
    </row>
    <row r="2" spans="1:3" ht="15.75" x14ac:dyDescent="0.25">
      <c r="A2" s="204"/>
    </row>
    <row r="3" spans="1:3" x14ac:dyDescent="0.25">
      <c r="A3" t="s">
        <v>67</v>
      </c>
      <c r="B3" s="156" t="s">
        <v>784</v>
      </c>
      <c r="C3" s="156" t="s">
        <v>785</v>
      </c>
    </row>
    <row r="4" spans="1:3" x14ac:dyDescent="0.25">
      <c r="A4" s="205" t="s">
        <v>56</v>
      </c>
      <c r="B4" s="101">
        <f>'4.1 Comptes 2020 natures'!AZ153</f>
        <v>79042.83</v>
      </c>
      <c r="C4" s="101">
        <f>'4.9 Comptes 2020 par habitant'!E153</f>
        <v>366.27193932827737</v>
      </c>
    </row>
    <row r="5" spans="1:3" x14ac:dyDescent="0.25">
      <c r="A5" s="205" t="s">
        <v>18</v>
      </c>
      <c r="B5" s="101">
        <f>'4.1 Comptes 2020 natures'!F153</f>
        <v>183367.53000000003</v>
      </c>
      <c r="C5" s="101">
        <f>'4.9 Comptes 2020 par habitant'!F153</f>
        <v>679.13900000000012</v>
      </c>
    </row>
    <row r="6" spans="1:3" x14ac:dyDescent="0.25">
      <c r="A6" s="205" t="s">
        <v>57</v>
      </c>
      <c r="B6" s="101">
        <f>'4.1 Comptes 2020 natures'!G153</f>
        <v>-29321.279999999999</v>
      </c>
      <c r="C6" s="101">
        <f>'4.9 Comptes 2020 par habitant'!G153</f>
        <v>-60.456247422680406</v>
      </c>
    </row>
    <row r="7" spans="1:3" x14ac:dyDescent="0.25">
      <c r="A7" s="205" t="s">
        <v>53</v>
      </c>
      <c r="B7" s="101">
        <f>'4.1 Comptes 2020 natures'!H153</f>
        <v>21653.66</v>
      </c>
      <c r="C7" s="101">
        <f>'4.9 Comptes 2020 par habitant'!H153</f>
        <v>48.550807174887893</v>
      </c>
    </row>
    <row r="8" spans="1:3" x14ac:dyDescent="0.25">
      <c r="A8" s="205" t="s">
        <v>33</v>
      </c>
      <c r="B8" s="101">
        <f>'4.1 Comptes 2020 natures'!I153</f>
        <v>461623.62999999995</v>
      </c>
      <c r="C8" s="101">
        <f>'4.9 Comptes 2020 par habitant'!I153</f>
        <v>127.13402093087302</v>
      </c>
    </row>
    <row r="9" spans="1:3" x14ac:dyDescent="0.25">
      <c r="A9" s="205" t="s">
        <v>10</v>
      </c>
      <c r="B9" s="101">
        <f>'4.1 Comptes 2020 natures'!J153</f>
        <v>1051215.94</v>
      </c>
      <c r="C9" s="101">
        <f>'4.9 Comptes 2020 par habitant'!J153</f>
        <v>317.30031391488075</v>
      </c>
    </row>
    <row r="10" spans="1:3" x14ac:dyDescent="0.25">
      <c r="A10" s="205" t="s">
        <v>15</v>
      </c>
      <c r="B10" s="101">
        <f>'4.1 Comptes 2020 natures'!K153</f>
        <v>253856.48</v>
      </c>
      <c r="C10" s="101">
        <f>'4.9 Comptes 2020 par habitant'!K153</f>
        <v>96.012284417549182</v>
      </c>
    </row>
    <row r="11" spans="1:3" x14ac:dyDescent="0.25">
      <c r="A11" s="205" t="s">
        <v>28</v>
      </c>
      <c r="B11" s="101">
        <f>'4.1 Comptes 2020 natures'!L153</f>
        <v>2089673.1800000002</v>
      </c>
      <c r="C11" s="101">
        <f>'4.9 Comptes 2020 par habitant'!L153</f>
        <v>165.61049136154702</v>
      </c>
    </row>
    <row r="12" spans="1:3" x14ac:dyDescent="0.25">
      <c r="A12" s="205" t="s">
        <v>42</v>
      </c>
      <c r="B12" s="101">
        <f>'4.1 Comptes 2020 natures'!M153</f>
        <v>-1352.8600000000151</v>
      </c>
      <c r="C12" s="101">
        <f>'4.9 Comptes 2020 par habitant'!M153</f>
        <v>-0.98676878191102446</v>
      </c>
    </row>
    <row r="13" spans="1:3" x14ac:dyDescent="0.25">
      <c r="A13" s="205" t="s">
        <v>23</v>
      </c>
      <c r="B13" s="101">
        <f>'4.1 Comptes 2020 natures'!N153</f>
        <v>-63918.92</v>
      </c>
      <c r="C13" s="101">
        <f>'4.9 Comptes 2020 par habitant'!N153</f>
        <v>-541.68576271186441</v>
      </c>
    </row>
    <row r="14" spans="1:3" x14ac:dyDescent="0.25">
      <c r="A14" s="205" t="s">
        <v>22</v>
      </c>
      <c r="B14" s="101">
        <f>'4.1 Comptes 2020 natures'!O153</f>
        <v>-1177403.47</v>
      </c>
      <c r="C14" s="101">
        <f>'4.9 Comptes 2020 par habitant'!O153</f>
        <v>-164.281215292312</v>
      </c>
    </row>
    <row r="15" spans="1:3" x14ac:dyDescent="0.25">
      <c r="A15" s="205" t="s">
        <v>13</v>
      </c>
      <c r="B15" s="101">
        <f>'4.1 Comptes 2020 natures'!P153</f>
        <v>-93731.8</v>
      </c>
      <c r="C15" s="101">
        <f>'4.9 Comptes 2020 par habitant'!P153</f>
        <v>-177.52234848484849</v>
      </c>
    </row>
    <row r="16" spans="1:3" x14ac:dyDescent="0.25">
      <c r="A16" s="205" t="s">
        <v>17</v>
      </c>
      <c r="B16" s="101">
        <f>'4.1 Comptes 2020 natures'!Q153</f>
        <v>-9460.8100000000013</v>
      </c>
      <c r="C16" s="101">
        <f>'4.9 Comptes 2020 par habitant'!Q153</f>
        <v>-87.600092592592631</v>
      </c>
    </row>
    <row r="17" spans="1:3" x14ac:dyDescent="0.25">
      <c r="A17" s="205" t="s">
        <v>43</v>
      </c>
      <c r="B17" s="101">
        <f>'4.1 Comptes 2020 natures'!R153</f>
        <v>-16853.579999999998</v>
      </c>
      <c r="C17" s="101">
        <f>'4.9 Comptes 2020 par habitant'!R153</f>
        <v>-40.611036144578307</v>
      </c>
    </row>
    <row r="18" spans="1:3" x14ac:dyDescent="0.25">
      <c r="A18" s="205" t="s">
        <v>40</v>
      </c>
      <c r="B18" s="101">
        <f>'4.1 Comptes 2020 natures'!S153</f>
        <v>-13071.369999999995</v>
      </c>
      <c r="C18" s="101">
        <f>'4.9 Comptes 2020 par habitant'!S153</f>
        <v>-37.453782234956975</v>
      </c>
    </row>
    <row r="19" spans="1:3" x14ac:dyDescent="0.25">
      <c r="A19" s="205" t="s">
        <v>31</v>
      </c>
      <c r="B19" s="101">
        <f>'4.1 Comptes 2020 natures'!T153</f>
        <v>262757.42</v>
      </c>
      <c r="C19" s="101">
        <f>'4.9 Comptes 2020 par habitant'!T153</f>
        <v>382.47077147016012</v>
      </c>
    </row>
    <row r="20" spans="1:3" x14ac:dyDescent="0.25">
      <c r="A20" s="205" t="s">
        <v>12</v>
      </c>
      <c r="B20" s="101">
        <f>'4.1 Comptes 2020 natures'!U153</f>
        <v>9048.7099999999991</v>
      </c>
      <c r="C20" s="101">
        <f>'4.9 Comptes 2020 par habitant'!U153</f>
        <v>35.485137254901964</v>
      </c>
    </row>
    <row r="21" spans="1:3" x14ac:dyDescent="0.25">
      <c r="A21" s="205" t="s">
        <v>59</v>
      </c>
      <c r="B21" s="101">
        <f>'4.1 Comptes 2020 natures'!V153</f>
        <v>-152377.16</v>
      </c>
      <c r="C21" s="101">
        <f>'4.9 Comptes 2020 par habitant'!V153</f>
        <v>-349.48889908256882</v>
      </c>
    </row>
    <row r="22" spans="1:3" x14ac:dyDescent="0.25">
      <c r="A22" s="205" t="s">
        <v>27</v>
      </c>
      <c r="B22" s="101">
        <f>'4.1 Comptes 2020 natures'!W153</f>
        <v>364711.41000000003</v>
      </c>
      <c r="C22" s="101">
        <f>'4.9 Comptes 2020 par habitant'!W153</f>
        <v>114.32959561128527</v>
      </c>
    </row>
    <row r="23" spans="1:3" x14ac:dyDescent="0.25">
      <c r="A23" s="205" t="s">
        <v>30</v>
      </c>
      <c r="B23" s="101">
        <f>'4.1 Comptes 2020 natures'!X153</f>
        <v>26286.14</v>
      </c>
      <c r="C23" s="101">
        <f>'4.9 Comptes 2020 par habitant'!X153</f>
        <v>81.130061728395063</v>
      </c>
    </row>
    <row r="24" spans="1:3" x14ac:dyDescent="0.25">
      <c r="A24" s="205" t="s">
        <v>20</v>
      </c>
      <c r="B24" s="101">
        <f>'4.1 Comptes 2020 natures'!Y153</f>
        <v>178997.68</v>
      </c>
      <c r="C24" s="101">
        <f>'4.9 Comptes 2020 par habitant'!Y153</f>
        <v>143.65784911717495</v>
      </c>
    </row>
    <row r="25" spans="1:3" x14ac:dyDescent="0.25">
      <c r="A25" s="205" t="s">
        <v>45</v>
      </c>
      <c r="B25" s="101">
        <f>'4.1 Comptes 2020 natures'!Z153</f>
        <v>3517719.9899999998</v>
      </c>
      <c r="C25" s="101">
        <f>'4.9 Comptes 2020 par habitant'!Z153</f>
        <v>2302.1727683246072</v>
      </c>
    </row>
    <row r="26" spans="1:3" x14ac:dyDescent="0.25">
      <c r="A26" s="205" t="s">
        <v>71</v>
      </c>
      <c r="B26" s="101">
        <f>'4.1 Comptes 2020 natures'!AA153</f>
        <v>-11170.27</v>
      </c>
      <c r="C26" s="101">
        <f>'4.9 Comptes 2020 par habitant'!AA153</f>
        <v>-116.35697916666668</v>
      </c>
    </row>
    <row r="27" spans="1:3" x14ac:dyDescent="0.25">
      <c r="A27" s="205" t="s">
        <v>39</v>
      </c>
      <c r="B27" s="101">
        <f>'4.1 Comptes 2020 natures'!AB153</f>
        <v>41421.78</v>
      </c>
      <c r="C27" s="101">
        <f>'4.9 Comptes 2020 par habitant'!AB153</f>
        <v>277.99852348993289</v>
      </c>
    </row>
    <row r="28" spans="1:3" x14ac:dyDescent="0.25">
      <c r="A28" s="205" t="s">
        <v>19</v>
      </c>
      <c r="B28" s="101">
        <f>'4.1 Comptes 2020 natures'!AC153</f>
        <v>-114596.97</v>
      </c>
      <c r="C28" s="101">
        <f>'4.9 Comptes 2020 par habitant'!AC153</f>
        <v>-222.08715116279069</v>
      </c>
    </row>
    <row r="29" spans="1:3" x14ac:dyDescent="0.25">
      <c r="A29" s="205" t="s">
        <v>41</v>
      </c>
      <c r="B29" s="101">
        <f>'4.1 Comptes 2020 natures'!AD153</f>
        <v>-99000.459999999992</v>
      </c>
      <c r="C29" s="101">
        <f>'4.9 Comptes 2020 par habitant'!AD153</f>
        <v>-147.54166915052161</v>
      </c>
    </row>
    <row r="30" spans="1:3" x14ac:dyDescent="0.25">
      <c r="A30" s="205" t="s">
        <v>36</v>
      </c>
      <c r="B30" s="101">
        <f>'4.1 Comptes 2020 natures'!AE153</f>
        <v>-194273.68</v>
      </c>
      <c r="C30" s="101">
        <f>'4.9 Comptes 2020 par habitant'!AE153</f>
        <v>-339.63930069930069</v>
      </c>
    </row>
    <row r="31" spans="1:3" x14ac:dyDescent="0.25">
      <c r="A31" s="205" t="s">
        <v>7</v>
      </c>
      <c r="B31" s="101">
        <f>'4.1 Comptes 2020 natures'!AF153</f>
        <v>122538.76</v>
      </c>
      <c r="C31" s="101">
        <f>'4.9 Comptes 2020 par habitant'!AF153</f>
        <v>250.07910204081634</v>
      </c>
    </row>
    <row r="32" spans="1:3" x14ac:dyDescent="0.25">
      <c r="A32" s="205" t="s">
        <v>55</v>
      </c>
      <c r="B32" s="101">
        <f>'4.1 Comptes 2020 natures'!AG153</f>
        <v>1107210.3</v>
      </c>
      <c r="C32" s="101">
        <f>'4.9 Comptes 2020 par habitant'!AG153</f>
        <v>578.47978056426336</v>
      </c>
    </row>
    <row r="33" spans="1:3" x14ac:dyDescent="0.25">
      <c r="A33" s="205" t="s">
        <v>21</v>
      </c>
      <c r="B33" s="101">
        <f>'4.1 Comptes 2020 natures'!AH153</f>
        <v>243887.35</v>
      </c>
      <c r="C33" s="101">
        <f>'4.9 Comptes 2020 par habitant'!AH153</f>
        <v>93.264760994263867</v>
      </c>
    </row>
    <row r="34" spans="1:3" x14ac:dyDescent="0.25">
      <c r="A34" s="205" t="s">
        <v>6</v>
      </c>
      <c r="B34" s="101">
        <f>'4.1 Comptes 2020 natures'!AI153</f>
        <v>-5355.96</v>
      </c>
      <c r="C34" s="101">
        <f>'4.9 Comptes 2020 par habitant'!AI153</f>
        <v>-23.594537444933923</v>
      </c>
    </row>
    <row r="35" spans="1:3" x14ac:dyDescent="0.25">
      <c r="A35" s="205" t="s">
        <v>34</v>
      </c>
      <c r="B35" s="101">
        <f>'4.1 Comptes 2020 natures'!AJ153</f>
        <v>22586.400000000001</v>
      </c>
      <c r="C35" s="101">
        <f>'4.9 Comptes 2020 par habitant'!AJ153</f>
        <v>172.41526717557252</v>
      </c>
    </row>
    <row r="36" spans="1:3" x14ac:dyDescent="0.25">
      <c r="A36" s="205" t="s">
        <v>52</v>
      </c>
      <c r="B36" s="101">
        <f>'4.1 Comptes 2020 natures'!AK153</f>
        <v>153720</v>
      </c>
      <c r="C36" s="101">
        <f>'4.9 Comptes 2020 par habitant'!AK153</f>
        <v>81.118733509234829</v>
      </c>
    </row>
    <row r="37" spans="1:3" x14ac:dyDescent="0.25">
      <c r="A37" s="205" t="s">
        <v>14</v>
      </c>
      <c r="B37" s="101">
        <f>'4.1 Comptes 2020 natures'!AL153</f>
        <v>-32824.589999999997</v>
      </c>
      <c r="C37" s="101">
        <f>'4.9 Comptes 2020 par habitant'!AL153</f>
        <v>-28.920343612334797</v>
      </c>
    </row>
    <row r="38" spans="1:3" x14ac:dyDescent="0.25">
      <c r="A38" s="205" t="s">
        <v>32</v>
      </c>
      <c r="B38" s="101">
        <f>'4.1 Comptes 2020 natures'!AM153</f>
        <v>-5589.7700000000041</v>
      </c>
      <c r="C38" s="101">
        <f>'4.9 Comptes 2020 par habitant'!AM153</f>
        <v>-4.5042465753424636</v>
      </c>
    </row>
    <row r="39" spans="1:3" x14ac:dyDescent="0.25">
      <c r="A39" s="205" t="s">
        <v>29</v>
      </c>
      <c r="B39" s="101">
        <f>'4.1 Comptes 2020 natures'!AN153</f>
        <v>13711.05</v>
      </c>
      <c r="C39" s="101">
        <f>'4.9 Comptes 2020 par habitant'!AN153</f>
        <v>115.2189075630252</v>
      </c>
    </row>
    <row r="40" spans="1:3" x14ac:dyDescent="0.25">
      <c r="A40" s="205" t="s">
        <v>26</v>
      </c>
      <c r="B40" s="101">
        <f>'4.1 Comptes 2020 natures'!AO153</f>
        <v>341994.52</v>
      </c>
      <c r="C40" s="101">
        <f>'4.9 Comptes 2020 par habitant'!AO153</f>
        <v>286.18788284518831</v>
      </c>
    </row>
    <row r="41" spans="1:3" x14ac:dyDescent="0.25">
      <c r="A41" s="205" t="s">
        <v>48</v>
      </c>
      <c r="B41" s="101">
        <f>'4.1 Comptes 2020 natures'!AP153</f>
        <v>197653.74000000002</v>
      </c>
      <c r="C41" s="101">
        <f>'4.9 Comptes 2020 par habitant'!AP153</f>
        <v>298.12027149321273</v>
      </c>
    </row>
    <row r="42" spans="1:3" x14ac:dyDescent="0.25">
      <c r="A42" s="205" t="s">
        <v>44</v>
      </c>
      <c r="B42" s="101">
        <f>'4.1 Comptes 2020 natures'!AQ153</f>
        <v>23915.769999999997</v>
      </c>
      <c r="C42" s="101">
        <f>'4.9 Comptes 2020 par habitant'!AQ153</f>
        <v>37.078713178294571</v>
      </c>
    </row>
    <row r="43" spans="1:3" x14ac:dyDescent="0.25">
      <c r="A43" s="205" t="s">
        <v>37</v>
      </c>
      <c r="B43" s="101">
        <f>'4.1 Comptes 2020 natures'!AR153</f>
        <v>50671.79</v>
      </c>
      <c r="C43" s="101">
        <f>'4.9 Comptes 2020 par habitant'!AR153</f>
        <v>40.120182106096593</v>
      </c>
    </row>
    <row r="44" spans="1:3" x14ac:dyDescent="0.25">
      <c r="A44" s="205" t="s">
        <v>51</v>
      </c>
      <c r="B44" s="101">
        <f>'4.1 Comptes 2020 natures'!AS153</f>
        <v>52551.100000000006</v>
      </c>
      <c r="C44" s="101">
        <f>'4.9 Comptes 2020 par habitant'!AS153</f>
        <v>71.015000000000001</v>
      </c>
    </row>
    <row r="45" spans="1:3" x14ac:dyDescent="0.25">
      <c r="A45" s="205" t="s">
        <v>8</v>
      </c>
      <c r="B45" s="101">
        <f>'4.1 Comptes 2020 natures'!AT153</f>
        <v>35118.03</v>
      </c>
      <c r="C45" s="101">
        <f>'4.9 Comptes 2020 par habitant'!AT153</f>
        <v>34.161507782101168</v>
      </c>
    </row>
    <row r="46" spans="1:3" x14ac:dyDescent="0.25">
      <c r="A46" s="205" t="s">
        <v>24</v>
      </c>
      <c r="B46" s="101">
        <f>'4.1 Comptes 2020 natures'!AU153</f>
        <v>112815.42</v>
      </c>
      <c r="C46" s="101">
        <f>'4.9 Comptes 2020 par habitant'!AU153</f>
        <v>359.28477707006368</v>
      </c>
    </row>
    <row r="47" spans="1:3" x14ac:dyDescent="0.25">
      <c r="A47" s="205" t="s">
        <v>9</v>
      </c>
      <c r="B47" s="101">
        <f>'4.1 Comptes 2020 natures'!AV153</f>
        <v>-268507.58</v>
      </c>
      <c r="C47" s="101">
        <f>'4.9 Comptes 2020 par habitant'!AV153</f>
        <v>-111.87815833333333</v>
      </c>
    </row>
    <row r="48" spans="1:3" x14ac:dyDescent="0.25">
      <c r="A48" s="205" t="s">
        <v>62</v>
      </c>
      <c r="B48" s="101">
        <f>'4.1 Comptes 2020 natures'!AW153</f>
        <v>-9064.0300000000025</v>
      </c>
      <c r="C48" s="101">
        <f>'4.9 Comptes 2020 par habitant'!AW153</f>
        <v>-12.005337748344374</v>
      </c>
    </row>
    <row r="49" spans="1:3" x14ac:dyDescent="0.25">
      <c r="A49" s="205" t="s">
        <v>46</v>
      </c>
      <c r="B49" s="101">
        <f>'4.1 Comptes 2020 natures'!AX153</f>
        <v>29819.599999999999</v>
      </c>
      <c r="C49" s="101">
        <f>'4.9 Comptes 2020 par habitant'!AX153</f>
        <v>164.74917127071825</v>
      </c>
    </row>
    <row r="50" spans="1:3" x14ac:dyDescent="0.25">
      <c r="A50" s="205" t="s">
        <v>35</v>
      </c>
      <c r="B50" s="101">
        <f>'4.1 Comptes 2020 natures'!AY153</f>
        <v>73689.049999999988</v>
      </c>
      <c r="C50" s="101">
        <f>'4.9 Comptes 2020 par habitant'!AY153</f>
        <v>212.36037463976945</v>
      </c>
    </row>
    <row r="51" spans="1:3" x14ac:dyDescent="0.25">
      <c r="A51" s="205" t="s">
        <v>49</v>
      </c>
      <c r="B51" s="101">
        <f>'4.1 Comptes 2020 natures'!AZ153</f>
        <v>79042.83</v>
      </c>
      <c r="C51" s="101">
        <f>'4.9 Comptes 2020 par habitant'!AZ153</f>
        <v>46.770905325443792</v>
      </c>
    </row>
    <row r="52" spans="1:3" x14ac:dyDescent="0.25">
      <c r="A52" s="205" t="s">
        <v>47</v>
      </c>
      <c r="B52" s="101">
        <f>'4.1 Comptes 2020 natures'!BA153</f>
        <v>160878.04999999999</v>
      </c>
      <c r="C52" s="101">
        <f>'4.9 Comptes 2020 par habitant'!BA153</f>
        <v>415.70555555555558</v>
      </c>
    </row>
    <row r="53" spans="1:3" x14ac:dyDescent="0.25">
      <c r="A53" s="205" t="s">
        <v>58</v>
      </c>
      <c r="B53" s="101">
        <f>'4.1 Comptes 2020 natures'!BB153</f>
        <v>192186.95</v>
      </c>
      <c r="C53" s="101">
        <f>'4.9 Comptes 2020 par habitant'!BB153</f>
        <v>175.3530565693431</v>
      </c>
    </row>
    <row r="54" spans="1:3" x14ac:dyDescent="0.25">
      <c r="A54" s="205" t="s">
        <v>50</v>
      </c>
      <c r="B54" s="101">
        <f>'4.1 Comptes 2020 natures'!BC153</f>
        <v>-14911.230000000001</v>
      </c>
      <c r="C54" s="101">
        <f>'4.9 Comptes 2020 par habitant'!BC153</f>
        <v>-79.315053191489369</v>
      </c>
    </row>
    <row r="55" spans="1:3" x14ac:dyDescent="0.25">
      <c r="A55" s="205" t="s">
        <v>16</v>
      </c>
      <c r="B55" s="101">
        <f>'4.1 Comptes 2020 natures'!BD153</f>
        <v>1253727.51</v>
      </c>
      <c r="C55" s="101">
        <f>'4.9 Comptes 2020 par habitant'!BD153</f>
        <v>194.85973111594654</v>
      </c>
    </row>
    <row r="56" spans="1:3" x14ac:dyDescent="0.25">
      <c r="A56" s="205" t="s">
        <v>25</v>
      </c>
      <c r="B56" s="101">
        <f>'4.1 Comptes 2020 natures'!BE153</f>
        <v>49199.93</v>
      </c>
      <c r="C56" s="101">
        <f>'4.9 Comptes 2020 par habitant'!BE153</f>
        <v>87.857017857142864</v>
      </c>
    </row>
    <row r="57" spans="1:3" x14ac:dyDescent="0.25">
      <c r="A57" s="206" t="s">
        <v>65</v>
      </c>
      <c r="B57" s="101">
        <f>'4.1 Comptes 2020 natures'!BF153</f>
        <v>10804534.910000002</v>
      </c>
      <c r="C57" s="101">
        <f>'4.9 Comptes 2020 par habitant'!BF153</f>
        <v>6305.5353329471554</v>
      </c>
    </row>
    <row r="58" spans="1:3" x14ac:dyDescent="0.25">
      <c r="A58" s="206" t="s">
        <v>214</v>
      </c>
      <c r="B58" s="101">
        <f>'4.1 Comptes 2020 natures'!BG153</f>
        <v>3478485.71</v>
      </c>
      <c r="C58" s="101">
        <f>'4.9 Comptes 2020 par habitant'!BG153</f>
        <v>872.21820871604996</v>
      </c>
    </row>
    <row r="59" spans="1:3" x14ac:dyDescent="0.25">
      <c r="A59" s="206" t="s">
        <v>215</v>
      </c>
      <c r="B59" s="101">
        <f>'4.1 Comptes 2020 natures'!BH153</f>
        <v>4836251.0600000005</v>
      </c>
      <c r="C59" s="101">
        <f>'4.9 Comptes 2020 par habitant'!BH153</f>
        <v>3049.9784758108126</v>
      </c>
    </row>
    <row r="60" spans="1:3" x14ac:dyDescent="0.25">
      <c r="A60" s="206"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3" t="s">
        <v>459</v>
      </c>
      <c r="B2" s="7"/>
    </row>
    <row r="3" spans="1:59" ht="15" customHeight="1" x14ac:dyDescent="0.25">
      <c r="A3" s="7"/>
      <c r="B3" s="7"/>
    </row>
    <row r="4" spans="1:59" ht="15" customHeight="1" x14ac:dyDescent="0.4">
      <c r="A4" s="42"/>
      <c r="B4" s="7"/>
    </row>
    <row r="5" spans="1:59" x14ac:dyDescent="0.25">
      <c r="A5" s="184"/>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4">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654</v>
      </c>
      <c r="C20" s="180">
        <f>C11+C13+C15-C17</f>
        <v>8787762.370000001</v>
      </c>
      <c r="D20" s="180">
        <f t="shared" ref="D20:BC20" si="3">D11+D13+D15-D17</f>
        <v>2487801.85</v>
      </c>
      <c r="E20" s="180">
        <f t="shared" si="3"/>
        <v>5651890.2999999998</v>
      </c>
      <c r="F20" s="180">
        <f t="shared" si="3"/>
        <v>4580673.8899999997</v>
      </c>
      <c r="G20" s="180">
        <f t="shared" si="3"/>
        <v>25331929.02</v>
      </c>
      <c r="H20" s="180">
        <f t="shared" si="3"/>
        <v>24139585.52</v>
      </c>
      <c r="I20" s="180">
        <f t="shared" si="3"/>
        <v>10593458.889999999</v>
      </c>
      <c r="J20" s="180">
        <f t="shared" si="3"/>
        <v>132652769.70999999</v>
      </c>
      <c r="K20" s="180">
        <f t="shared" si="3"/>
        <v>7093445.6799999997</v>
      </c>
      <c r="L20" s="180">
        <f t="shared" si="3"/>
        <v>825716.9</v>
      </c>
      <c r="M20" s="180">
        <f t="shared" si="3"/>
        <v>44736924.560000002</v>
      </c>
      <c r="N20" s="180">
        <f t="shared" si="3"/>
        <v>3159127.29</v>
      </c>
      <c r="O20" s="180">
        <f t="shared" si="3"/>
        <v>536394.25</v>
      </c>
      <c r="P20" s="180">
        <f t="shared" si="3"/>
        <v>3313530.66</v>
      </c>
      <c r="Q20" s="180">
        <f t="shared" si="3"/>
        <v>4204776.53</v>
      </c>
      <c r="R20" s="180">
        <f t="shared" si="3"/>
        <v>5498176.3700000001</v>
      </c>
      <c r="S20" s="180">
        <f t="shared" si="3"/>
        <v>938248.7</v>
      </c>
      <c r="T20" s="180">
        <f t="shared" si="3"/>
        <v>4144239.9200000004</v>
      </c>
      <c r="U20" s="180">
        <f t="shared" si="3"/>
        <v>15429558.279999999</v>
      </c>
      <c r="V20" s="180">
        <f t="shared" si="3"/>
        <v>567571.4</v>
      </c>
      <c r="W20" s="180">
        <f t="shared" si="3"/>
        <v>12076989.98</v>
      </c>
      <c r="X20" s="180">
        <f t="shared" si="3"/>
        <v>8118224.96</v>
      </c>
      <c r="Y20" s="180">
        <f t="shared" si="3"/>
        <v>644147.25</v>
      </c>
      <c r="Z20" s="180">
        <f t="shared" si="3"/>
        <v>1231444.1299999999</v>
      </c>
      <c r="AA20" s="180">
        <f t="shared" si="3"/>
        <v>3754493.61</v>
      </c>
      <c r="AB20" s="180">
        <f t="shared" si="3"/>
        <v>8579909.4399999995</v>
      </c>
      <c r="AC20" s="180">
        <f t="shared" si="3"/>
        <v>3837428.94</v>
      </c>
      <c r="AD20" s="180">
        <f t="shared" si="3"/>
        <v>1162741.5</v>
      </c>
      <c r="AE20" s="180">
        <f t="shared" si="3"/>
        <v>8032615.3900000006</v>
      </c>
      <c r="AF20" s="180">
        <f t="shared" si="3"/>
        <v>19272498.099999998</v>
      </c>
      <c r="AG20" s="180">
        <f t="shared" si="3"/>
        <v>1590822.06</v>
      </c>
      <c r="AH20" s="180">
        <f t="shared" si="3"/>
        <v>1163456.05</v>
      </c>
      <c r="AI20" s="180">
        <f t="shared" si="3"/>
        <v>17594904.52</v>
      </c>
      <c r="AJ20" s="180">
        <f t="shared" si="3"/>
        <v>9692490.629999999</v>
      </c>
      <c r="AK20" s="180">
        <f t="shared" si="3"/>
        <v>11472400.510000002</v>
      </c>
      <c r="AL20" s="180">
        <f t="shared" si="3"/>
        <v>1630726.94</v>
      </c>
      <c r="AM20" s="180">
        <f t="shared" si="3"/>
        <v>10895889.1</v>
      </c>
      <c r="AN20" s="180">
        <f t="shared" si="3"/>
        <v>5208593.24</v>
      </c>
      <c r="AO20" s="180">
        <f t="shared" si="3"/>
        <v>4438992.88</v>
      </c>
      <c r="AP20" s="180">
        <f t="shared" si="3"/>
        <v>10073359.530000001</v>
      </c>
      <c r="AQ20" s="180">
        <f t="shared" si="3"/>
        <v>5769529.8499999996</v>
      </c>
      <c r="AR20" s="180">
        <f t="shared" si="3"/>
        <v>8124689.7800000003</v>
      </c>
      <c r="AS20" s="180">
        <f t="shared" si="3"/>
        <v>1892447.1</v>
      </c>
      <c r="AT20" s="180">
        <f t="shared" si="3"/>
        <v>13884615.460000001</v>
      </c>
      <c r="AU20" s="180">
        <f t="shared" si="3"/>
        <v>5721798.2999999998</v>
      </c>
      <c r="AV20" s="180">
        <f t="shared" si="3"/>
        <v>695239.35</v>
      </c>
      <c r="AW20" s="180">
        <f t="shared" si="3"/>
        <v>2219789.69</v>
      </c>
      <c r="AX20" s="180">
        <f t="shared" si="3"/>
        <v>20584531.979999997</v>
      </c>
      <c r="AY20" s="180">
        <f t="shared" si="3"/>
        <v>1678016.85</v>
      </c>
      <c r="AZ20" s="180">
        <f t="shared" si="3"/>
        <v>10224980.140000001</v>
      </c>
      <c r="BA20" s="180">
        <f t="shared" si="3"/>
        <v>206289.58000000002</v>
      </c>
      <c r="BB20" s="180">
        <f t="shared" si="3"/>
        <v>67094497.109999999</v>
      </c>
      <c r="BC20" s="180">
        <f t="shared" si="3"/>
        <v>4428056.8</v>
      </c>
      <c r="BD20" s="180">
        <f>SUM(C20:BC20)</f>
        <v>587670192.84000003</v>
      </c>
      <c r="BE20" s="180">
        <f t="shared" si="0"/>
        <v>304106010.69</v>
      </c>
      <c r="BF20" s="180">
        <f t="shared" si="1"/>
        <v>70032342.809999987</v>
      </c>
      <c r="BG20" s="180">
        <f t="shared" si="2"/>
        <v>213531839.33999997</v>
      </c>
    </row>
    <row r="21" spans="1:59" x14ac:dyDescent="0.25">
      <c r="A21" s="67"/>
      <c r="B21" s="69" t="s">
        <v>458</v>
      </c>
      <c r="C21" s="173">
        <f>C20/C5</f>
        <v>9520.8693066088854</v>
      </c>
      <c r="D21" s="173">
        <f t="shared" ref="D21:BC21" si="4">D20/D5</f>
        <v>9214.0809259259258</v>
      </c>
      <c r="E21" s="173">
        <f t="shared" si="4"/>
        <v>11653.382061855669</v>
      </c>
      <c r="F21" s="173">
        <f t="shared" si="4"/>
        <v>10270.569260089685</v>
      </c>
      <c r="G21" s="173">
        <f t="shared" si="4"/>
        <v>6976.5709226108511</v>
      </c>
      <c r="H21" s="173">
        <f t="shared" si="4"/>
        <v>7286.3222215514634</v>
      </c>
      <c r="I21" s="173">
        <f t="shared" si="4"/>
        <v>4006.6032110438723</v>
      </c>
      <c r="J21" s="173">
        <f t="shared" si="4"/>
        <v>10512.97905452528</v>
      </c>
      <c r="K21" s="173">
        <f t="shared" si="4"/>
        <v>5173.920991976659</v>
      </c>
      <c r="L21" s="173">
        <f t="shared" si="4"/>
        <v>6997.6008474576274</v>
      </c>
      <c r="M21" s="173">
        <f t="shared" si="4"/>
        <v>6242.0712376168558</v>
      </c>
      <c r="N21" s="173">
        <f t="shared" si="4"/>
        <v>5983.1956250000003</v>
      </c>
      <c r="O21" s="173">
        <f t="shared" si="4"/>
        <v>4966.6134259259261</v>
      </c>
      <c r="P21" s="173">
        <f t="shared" si="4"/>
        <v>7984.4112289156628</v>
      </c>
      <c r="Q21" s="173">
        <f t="shared" si="4"/>
        <v>12048.070286532951</v>
      </c>
      <c r="R21" s="173">
        <f t="shared" si="4"/>
        <v>8003.167933042213</v>
      </c>
      <c r="S21" s="173">
        <f t="shared" si="4"/>
        <v>3679.4066666666663</v>
      </c>
      <c r="T21" s="173">
        <f t="shared" si="4"/>
        <v>9505.1374311926611</v>
      </c>
      <c r="U21" s="173">
        <f t="shared" si="4"/>
        <v>4836.8521253918498</v>
      </c>
      <c r="V21" s="173">
        <f t="shared" si="4"/>
        <v>1751.7635802469138</v>
      </c>
      <c r="W21" s="173">
        <f t="shared" si="4"/>
        <v>9692.6083306581058</v>
      </c>
      <c r="X21" s="173">
        <f t="shared" si="4"/>
        <v>5312.9744502617805</v>
      </c>
      <c r="Y21" s="173">
        <f t="shared" si="4"/>
        <v>6709.8671875</v>
      </c>
      <c r="Z21" s="173">
        <f t="shared" si="4"/>
        <v>8264.7257046979867</v>
      </c>
      <c r="AA21" s="173">
        <f t="shared" si="4"/>
        <v>7276.1504069767443</v>
      </c>
      <c r="AB21" s="173">
        <f t="shared" si="4"/>
        <v>12786.750283159463</v>
      </c>
      <c r="AC21" s="173">
        <f t="shared" si="4"/>
        <v>6708.7918531468531</v>
      </c>
      <c r="AD21" s="173">
        <f t="shared" si="4"/>
        <v>2372.9418367346939</v>
      </c>
      <c r="AE21" s="173">
        <f t="shared" si="4"/>
        <v>4196.7687513061655</v>
      </c>
      <c r="AF21" s="173">
        <f t="shared" si="4"/>
        <v>7369.9801529636707</v>
      </c>
      <c r="AG21" s="173">
        <f t="shared" si="4"/>
        <v>7008.0266960352428</v>
      </c>
      <c r="AH21" s="173">
        <f t="shared" si="4"/>
        <v>8881.3438931297715</v>
      </c>
      <c r="AI21" s="173">
        <f t="shared" si="4"/>
        <v>9284.9100369393145</v>
      </c>
      <c r="AJ21" s="173">
        <f t="shared" si="4"/>
        <v>8539.6393215859025</v>
      </c>
      <c r="AK21" s="173">
        <f t="shared" si="4"/>
        <v>9244.4806688154731</v>
      </c>
      <c r="AL21" s="173">
        <f t="shared" si="4"/>
        <v>13703.587731092437</v>
      </c>
      <c r="AM21" s="173">
        <f t="shared" si="4"/>
        <v>9117.8988284518819</v>
      </c>
      <c r="AN21" s="173">
        <f t="shared" si="4"/>
        <v>7856.0984012066365</v>
      </c>
      <c r="AO21" s="173">
        <f t="shared" si="4"/>
        <v>6882.1595038759688</v>
      </c>
      <c r="AP21" s="173">
        <f t="shared" si="4"/>
        <v>7975.7399287410935</v>
      </c>
      <c r="AQ21" s="173">
        <f t="shared" si="4"/>
        <v>7796.6619594594586</v>
      </c>
      <c r="AR21" s="173">
        <f t="shared" si="4"/>
        <v>7903.3947276264598</v>
      </c>
      <c r="AS21" s="173">
        <f t="shared" si="4"/>
        <v>6026.9015923566885</v>
      </c>
      <c r="AT21" s="173">
        <f t="shared" si="4"/>
        <v>5785.2564416666673</v>
      </c>
      <c r="AU21" s="173">
        <f t="shared" si="4"/>
        <v>7578.5407947019867</v>
      </c>
      <c r="AV21" s="173">
        <f t="shared" si="4"/>
        <v>3841.1013812154697</v>
      </c>
      <c r="AW21" s="173">
        <f t="shared" si="4"/>
        <v>6397.0884438040348</v>
      </c>
      <c r="AX21" s="173">
        <f t="shared" si="4"/>
        <v>12180.196437869821</v>
      </c>
      <c r="AY21" s="173">
        <f t="shared" si="4"/>
        <v>4335.9608527131786</v>
      </c>
      <c r="AZ21" s="173">
        <f t="shared" si="4"/>
        <v>9329.3614416058408</v>
      </c>
      <c r="BA21" s="173">
        <f t="shared" si="4"/>
        <v>1097.2850000000001</v>
      </c>
      <c r="BB21" s="173">
        <f t="shared" si="4"/>
        <v>10428.115808206403</v>
      </c>
      <c r="BC21" s="173">
        <f t="shared" si="4"/>
        <v>7907.2442857142851</v>
      </c>
      <c r="BD21" s="173">
        <f>SUM(C21:BC21)</f>
        <v>396406.14147839695</v>
      </c>
      <c r="BE21" s="173">
        <f t="shared" si="0"/>
        <v>144861.82476393069</v>
      </c>
      <c r="BF21" s="173">
        <f t="shared" si="1"/>
        <v>88332.693126817394</v>
      </c>
      <c r="BG21" s="173">
        <f t="shared" si="2"/>
        <v>163211.62358764902</v>
      </c>
    </row>
    <row r="22" spans="1:59" x14ac:dyDescent="0.25">
      <c r="A22" s="67"/>
      <c r="B22" s="7"/>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row>
    <row r="23" spans="1:59" x14ac:dyDescent="0.25">
      <c r="A23" s="67"/>
      <c r="B23" s="99" t="s">
        <v>655</v>
      </c>
      <c r="C23" s="180">
        <f>C9-C7</f>
        <v>3110759.83</v>
      </c>
      <c r="D23" s="180">
        <f t="shared" ref="D23:BC23" si="5">D9-D7</f>
        <v>1153471.1100000001</v>
      </c>
      <c r="E23" s="180">
        <f t="shared" si="5"/>
        <v>2152345.7399999993</v>
      </c>
      <c r="F23" s="180">
        <f t="shared" si="5"/>
        <v>279098.55999999959</v>
      </c>
      <c r="G23" s="180">
        <f t="shared" si="5"/>
        <v>11170166.720000001</v>
      </c>
      <c r="H23" s="180">
        <f t="shared" si="5"/>
        <v>16907788.280000001</v>
      </c>
      <c r="I23" s="180">
        <f t="shared" si="5"/>
        <v>1024849.9700000007</v>
      </c>
      <c r="J23" s="180">
        <f t="shared" si="5"/>
        <v>90861759.809999973</v>
      </c>
      <c r="K23" s="180">
        <f t="shared" si="5"/>
        <v>3075283.87</v>
      </c>
      <c r="L23" s="180">
        <f t="shared" si="5"/>
        <v>460672.40000000008</v>
      </c>
      <c r="M23" s="180">
        <f t="shared" si="5"/>
        <v>26943371.269999996</v>
      </c>
      <c r="N23" s="180">
        <f t="shared" si="5"/>
        <v>1367293.8900000001</v>
      </c>
      <c r="O23" s="180">
        <f t="shared" si="5"/>
        <v>245034.49999999994</v>
      </c>
      <c r="P23" s="180">
        <f t="shared" si="5"/>
        <v>1875698.62</v>
      </c>
      <c r="Q23" s="180">
        <f t="shared" si="5"/>
        <v>2088445.9300000002</v>
      </c>
      <c r="R23" s="180">
        <f t="shared" si="5"/>
        <v>205440.33000000101</v>
      </c>
      <c r="S23" s="180">
        <f t="shared" si="5"/>
        <v>266671.21000000008</v>
      </c>
      <c r="T23" s="180">
        <f t="shared" si="5"/>
        <v>1745113.8100000005</v>
      </c>
      <c r="U23" s="180">
        <f t="shared" si="5"/>
        <v>10830665.34</v>
      </c>
      <c r="V23" s="180">
        <f t="shared" si="5"/>
        <v>-1080510.5</v>
      </c>
      <c r="W23" s="180">
        <f t="shared" si="5"/>
        <v>7786577.9200000009</v>
      </c>
      <c r="X23" s="180">
        <f t="shared" si="5"/>
        <v>-9330221.8099999987</v>
      </c>
      <c r="Y23" s="180">
        <f t="shared" si="5"/>
        <v>135991.01</v>
      </c>
      <c r="Z23" s="180">
        <f t="shared" si="5"/>
        <v>-394266.68000000017</v>
      </c>
      <c r="AA23" s="180">
        <f t="shared" si="5"/>
        <v>795544.37999999942</v>
      </c>
      <c r="AB23" s="180">
        <f t="shared" si="5"/>
        <v>5398506.4100000011</v>
      </c>
      <c r="AC23" s="180">
        <f t="shared" si="5"/>
        <v>1285721.0300000003</v>
      </c>
      <c r="AD23" s="180">
        <f t="shared" si="5"/>
        <v>-3100962.9499999997</v>
      </c>
      <c r="AE23" s="180">
        <f t="shared" si="5"/>
        <v>-641556.43999999948</v>
      </c>
      <c r="AF23" s="180">
        <f t="shared" si="5"/>
        <v>10187147.34</v>
      </c>
      <c r="AG23" s="180">
        <f t="shared" si="5"/>
        <v>-118781.69999999995</v>
      </c>
      <c r="AH23" s="180">
        <f t="shared" si="5"/>
        <v>-1114795.5899999999</v>
      </c>
      <c r="AI23" s="180">
        <f t="shared" si="5"/>
        <v>12234275.83</v>
      </c>
      <c r="AJ23" s="180">
        <f t="shared" si="5"/>
        <v>5016254.2100000009</v>
      </c>
      <c r="AK23" s="180">
        <f t="shared" si="5"/>
        <v>6531766.3000000026</v>
      </c>
      <c r="AL23" s="180">
        <f t="shared" si="5"/>
        <v>1172309.7600000002</v>
      </c>
      <c r="AM23" s="180">
        <f t="shared" si="5"/>
        <v>-3843093.26</v>
      </c>
      <c r="AN23" s="180">
        <f t="shared" si="5"/>
        <v>1218796.6800000006</v>
      </c>
      <c r="AO23" s="180">
        <f t="shared" si="5"/>
        <v>928101.93000000017</v>
      </c>
      <c r="AP23" s="180">
        <f t="shared" si="5"/>
        <v>-1573158.0699999984</v>
      </c>
      <c r="AQ23" s="180">
        <f t="shared" si="5"/>
        <v>3349607.29</v>
      </c>
      <c r="AR23" s="180">
        <f t="shared" si="5"/>
        <v>4273584.87</v>
      </c>
      <c r="AS23" s="180">
        <f t="shared" si="5"/>
        <v>-1809164.0300000005</v>
      </c>
      <c r="AT23" s="180">
        <f t="shared" si="5"/>
        <v>8092477.2599999998</v>
      </c>
      <c r="AU23" s="180">
        <f t="shared" si="5"/>
        <v>2942305.2700000005</v>
      </c>
      <c r="AV23" s="180">
        <f t="shared" si="5"/>
        <v>303302.40000000002</v>
      </c>
      <c r="AW23" s="180">
        <f t="shared" si="5"/>
        <v>-28814.959999999963</v>
      </c>
      <c r="AX23" s="180">
        <f t="shared" si="5"/>
        <v>16166827.07</v>
      </c>
      <c r="AY23" s="180">
        <f t="shared" si="5"/>
        <v>-1285711.78</v>
      </c>
      <c r="AZ23" s="180">
        <f t="shared" si="5"/>
        <v>5956684.4200000009</v>
      </c>
      <c r="BA23" s="180">
        <f t="shared" si="5"/>
        <v>-570550.01</v>
      </c>
      <c r="BB23" s="180">
        <f t="shared" si="5"/>
        <v>38530094.520000011</v>
      </c>
      <c r="BC23" s="180">
        <f t="shared" si="5"/>
        <v>2154728.8999999994</v>
      </c>
      <c r="BD23" s="180">
        <f>SUM(C23:BC23)</f>
        <v>285332948.21000004</v>
      </c>
      <c r="BE23" s="180">
        <f t="shared" si="0"/>
        <v>175763931.19000003</v>
      </c>
      <c r="BF23" s="180">
        <f t="shared" si="1"/>
        <v>9808392.4200000037</v>
      </c>
      <c r="BG23" s="180">
        <f t="shared" si="2"/>
        <v>99760624.600000024</v>
      </c>
    </row>
    <row r="24" spans="1:59" x14ac:dyDescent="0.25">
      <c r="A24" s="67"/>
      <c r="B24" s="69" t="s">
        <v>458</v>
      </c>
      <c r="C24" s="173">
        <f>C23/C5</f>
        <v>3370.2706717226438</v>
      </c>
      <c r="D24" s="173">
        <f t="shared" ref="D24:BC24" si="6">D23/D5</f>
        <v>4272.1152222222227</v>
      </c>
      <c r="E24" s="173">
        <f t="shared" si="6"/>
        <v>4437.8262680412354</v>
      </c>
      <c r="F24" s="173">
        <f t="shared" si="6"/>
        <v>625.78152466367624</v>
      </c>
      <c r="G24" s="173">
        <f t="shared" si="6"/>
        <v>3076.3334398237403</v>
      </c>
      <c r="H24" s="173">
        <f t="shared" si="6"/>
        <v>5103.4676365831574</v>
      </c>
      <c r="I24" s="173">
        <f t="shared" si="6"/>
        <v>387.61345310136181</v>
      </c>
      <c r="J24" s="173">
        <f t="shared" si="6"/>
        <v>7200.9636875891565</v>
      </c>
      <c r="K24" s="173">
        <f t="shared" si="6"/>
        <v>2243.0954558716267</v>
      </c>
      <c r="L24" s="173">
        <f t="shared" si="6"/>
        <v>3904.0033898305091</v>
      </c>
      <c r="M24" s="173">
        <f t="shared" si="6"/>
        <v>3759.3653230082314</v>
      </c>
      <c r="N24" s="173">
        <f t="shared" si="6"/>
        <v>2589.5717613636366</v>
      </c>
      <c r="O24" s="173">
        <f t="shared" si="6"/>
        <v>2268.8379629629626</v>
      </c>
      <c r="P24" s="173">
        <f t="shared" si="6"/>
        <v>4519.7557108433739</v>
      </c>
      <c r="Q24" s="173">
        <f t="shared" si="6"/>
        <v>5984.085759312321</v>
      </c>
      <c r="R24" s="173">
        <f t="shared" si="6"/>
        <v>299.03978165939009</v>
      </c>
      <c r="S24" s="173">
        <f t="shared" si="6"/>
        <v>1045.7694509803925</v>
      </c>
      <c r="T24" s="173">
        <f t="shared" si="6"/>
        <v>4002.5546100917445</v>
      </c>
      <c r="U24" s="173">
        <f t="shared" si="6"/>
        <v>3395.1928965517241</v>
      </c>
      <c r="V24" s="173">
        <f t="shared" si="6"/>
        <v>-3334.9089506172841</v>
      </c>
      <c r="W24" s="173">
        <f t="shared" si="6"/>
        <v>6249.259967897272</v>
      </c>
      <c r="X24" s="173">
        <f t="shared" si="6"/>
        <v>-6106.1661060209417</v>
      </c>
      <c r="Y24" s="173">
        <f t="shared" si="6"/>
        <v>1416.5730208333334</v>
      </c>
      <c r="Z24" s="173">
        <f t="shared" si="6"/>
        <v>-2646.0851006711418</v>
      </c>
      <c r="AA24" s="173">
        <f t="shared" si="6"/>
        <v>1541.7526744186034</v>
      </c>
      <c r="AB24" s="173">
        <f t="shared" si="6"/>
        <v>8045.4640983606578</v>
      </c>
      <c r="AC24" s="173">
        <f t="shared" si="6"/>
        <v>2247.7640384615388</v>
      </c>
      <c r="AD24" s="173">
        <f t="shared" si="6"/>
        <v>-6328.4958163265301</v>
      </c>
      <c r="AE24" s="173">
        <f t="shared" si="6"/>
        <v>-335.19145245559014</v>
      </c>
      <c r="AF24" s="173">
        <f t="shared" si="6"/>
        <v>3895.6586386233271</v>
      </c>
      <c r="AG24" s="173">
        <f t="shared" si="6"/>
        <v>-523.26740088105703</v>
      </c>
      <c r="AH24" s="173">
        <f t="shared" si="6"/>
        <v>-8509.89</v>
      </c>
      <c r="AI24" s="173">
        <f t="shared" si="6"/>
        <v>6456.0822321899741</v>
      </c>
      <c r="AJ24" s="173">
        <f t="shared" si="6"/>
        <v>4419.6072334801765</v>
      </c>
      <c r="AK24" s="173">
        <f t="shared" si="6"/>
        <v>5263.3088638195022</v>
      </c>
      <c r="AL24" s="173">
        <f t="shared" si="6"/>
        <v>9851.342521008406</v>
      </c>
      <c r="AM24" s="173">
        <f t="shared" si="6"/>
        <v>-3215.977623430962</v>
      </c>
      <c r="AN24" s="173">
        <f t="shared" si="6"/>
        <v>1838.3057013574671</v>
      </c>
      <c r="AO24" s="173">
        <f t="shared" si="6"/>
        <v>1438.9177209302329</v>
      </c>
      <c r="AP24" s="173">
        <f t="shared" si="6"/>
        <v>-1245.5725019794129</v>
      </c>
      <c r="AQ24" s="173">
        <f t="shared" si="6"/>
        <v>4526.4963378378379</v>
      </c>
      <c r="AR24" s="173">
        <f t="shared" si="6"/>
        <v>4157.183725680934</v>
      </c>
      <c r="AS24" s="173">
        <f t="shared" si="6"/>
        <v>-5761.6688853503201</v>
      </c>
      <c r="AT24" s="173">
        <f t="shared" si="6"/>
        <v>3371.8655249999997</v>
      </c>
      <c r="AU24" s="173">
        <f t="shared" si="6"/>
        <v>3897.0930728476828</v>
      </c>
      <c r="AV24" s="173">
        <f t="shared" si="6"/>
        <v>1675.7038674033151</v>
      </c>
      <c r="AW24" s="173">
        <f t="shared" si="6"/>
        <v>-83.040230547550323</v>
      </c>
      <c r="AX24" s="173">
        <f t="shared" si="6"/>
        <v>9566.1698639053247</v>
      </c>
      <c r="AY24" s="173">
        <f t="shared" si="6"/>
        <v>-3322.2526614987082</v>
      </c>
      <c r="AZ24" s="173">
        <f t="shared" si="6"/>
        <v>5434.9310401459861</v>
      </c>
      <c r="BA24" s="173">
        <f t="shared" si="6"/>
        <v>-3034.8404787234044</v>
      </c>
      <c r="BB24" s="173">
        <f t="shared" si="6"/>
        <v>5988.513291886853</v>
      </c>
      <c r="BC24" s="173">
        <f t="shared" si="6"/>
        <v>3847.7301785714276</v>
      </c>
      <c r="BD24" s="173">
        <f>SUM(C24:BC24)</f>
        <v>113168.01041238003</v>
      </c>
      <c r="BE24" s="173">
        <f t="shared" si="0"/>
        <v>62485.644006223112</v>
      </c>
      <c r="BF24" s="173">
        <f t="shared" si="1"/>
        <v>-4387.5323883778119</v>
      </c>
      <c r="BG24" s="173">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653</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656</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0">
        <f>SUM(C42:BC42)</f>
        <v>538714835.05999994</v>
      </c>
      <c r="BE42" s="180">
        <f t="shared" ref="BE42" si="12">SUM(C42:U42)</f>
        <v>267409193.54999995</v>
      </c>
      <c r="BF42" s="180">
        <f t="shared" ref="BF42" si="13">SUM(V42:AH42)</f>
        <v>66360232.519999996</v>
      </c>
      <c r="BG42" s="180">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3">
        <f>BD42/BD5</f>
        <v>7308.6710586224199</v>
      </c>
      <c r="BE43" s="173">
        <f>BE42/BE5</f>
        <v>6864.7428646608805</v>
      </c>
      <c r="BF43" s="173">
        <f>BF42/BF5</f>
        <v>6332.6875198015077</v>
      </c>
      <c r="BG43" s="173">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1"/>
      <c r="BE44" s="181"/>
      <c r="BF44" s="181"/>
      <c r="BG44" s="181"/>
    </row>
    <row r="45" spans="1:59" x14ac:dyDescent="0.25">
      <c r="A45" s="67"/>
      <c r="B45" s="99" t="s">
        <v>657</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0">
        <f t="shared" si="16"/>
        <v>141329869.45999992</v>
      </c>
      <c r="BF45" s="180">
        <f t="shared" si="16"/>
        <v>11166293.910000011</v>
      </c>
      <c r="BG45" s="180">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3">
        <f>BE45/BE5</f>
        <v>3628.1221302048548</v>
      </c>
      <c r="BF46" s="173">
        <f>BF45/BF5</f>
        <v>1065.5877383338116</v>
      </c>
      <c r="BG46" s="173">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761</v>
      </c>
      <c r="B1" s="7"/>
    </row>
    <row r="2" spans="1:3" ht="15" customHeight="1" x14ac:dyDescent="0.4">
      <c r="A2" s="42"/>
      <c r="B2" s="7"/>
    </row>
    <row r="3" spans="1:3" ht="15" customHeight="1" thickBot="1" x14ac:dyDescent="0.3">
      <c r="A3" s="7"/>
      <c r="B3" s="7"/>
    </row>
    <row r="4" spans="1:3" ht="15" customHeight="1" thickBot="1" x14ac:dyDescent="0.45">
      <c r="A4" s="42"/>
      <c r="B4" s="179" t="s">
        <v>14</v>
      </c>
    </row>
    <row r="5" spans="1:3" ht="15" customHeight="1" x14ac:dyDescent="0.25">
      <c r="C5" s="65"/>
    </row>
    <row r="6" spans="1:3" ht="15" customHeight="1" x14ac:dyDescent="0.25">
      <c r="C6" s="182"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654</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655</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653</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656</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657</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649</v>
      </c>
      <c r="D5" s="174" t="s">
        <v>35</v>
      </c>
    </row>
    <row r="7" spans="1:5" x14ac:dyDescent="0.25">
      <c r="E7" s="65" t="s">
        <v>205</v>
      </c>
    </row>
    <row r="8" spans="1:5" ht="21" x14ac:dyDescent="0.35">
      <c r="A8" s="92">
        <v>3</v>
      </c>
      <c r="B8" s="92"/>
      <c r="C8" s="92"/>
      <c r="D8" s="92" t="s">
        <v>60</v>
      </c>
      <c r="E8" s="171">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595</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2">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595</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650</v>
      </c>
      <c r="B2" s="7"/>
      <c r="C2" s="7"/>
      <c r="D2" s="7"/>
    </row>
    <row r="4" spans="1:5" ht="15.75" thickBot="1" x14ac:dyDescent="0.3"/>
    <row r="5" spans="1:5" ht="15.75" thickBot="1" x14ac:dyDescent="0.3">
      <c r="A5" t="s">
        <v>649</v>
      </c>
      <c r="D5" s="174" t="s">
        <v>56</v>
      </c>
    </row>
    <row r="7" spans="1:5" x14ac:dyDescent="0.25">
      <c r="E7" s="65" t="s">
        <v>205</v>
      </c>
    </row>
    <row r="8" spans="1:5" ht="21" x14ac:dyDescent="0.35">
      <c r="A8" s="92">
        <v>3</v>
      </c>
      <c r="B8" s="92"/>
      <c r="C8" s="92"/>
      <c r="D8" s="92" t="s">
        <v>60</v>
      </c>
      <c r="E8" s="171">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595</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2">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5.3 Bilan par commune</vt:lpstr>
      <vt:lpstr>5.2 Tableau bilan</vt:lpstr>
      <vt:lpstr>5.1.2Graphique capitaux propres</vt:lpstr>
      <vt:lpstr>5.4 Tableau de l'endettement</vt:lpstr>
      <vt:lpstr>5.4.1Graphique de l'endettement</vt:lpstr>
      <vt:lpstr>5.5 Endettement par commune</vt:lpstr>
      <vt:lpstr>6.1 Investissements</vt:lpstr>
      <vt:lpstr>6.2 Investissements par commune</vt:lpstr>
      <vt:lpstr>7, Définition des indicateurs</vt:lpstr>
      <vt:lpstr>Base de données indicateurs1</vt:lpstr>
      <vt:lpstr>Endett. net + degré d'auto.</vt:lpstr>
      <vt:lpstr>7,4 Dettes brut sur revenus</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2022-06-14T07:01:43Z</dcterms:modified>
</cp:coreProperties>
</file>