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6" activeTab="6"/>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<sst xmlns="http://schemas.openxmlformats.org/spreadsheetml/2006/main" count="5599" uniqueCount="823">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</sst>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tabSelected="1"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c r="D4" s="228" t="s">
        <v>822</v>
      </c>
    </row>
    <row r="5" spans="1:5" ht="15.75" thickBot="1" x14ac:dyDescent="0.3">
      <c r="A5" t="s">
        <v>650</v>
      </c>
      <c r="D5" s="175" t="s">
        <v>56</v>
      </c>
    </row>
    <row r="7" spans="1:5" x14ac:dyDescent="0.25">
      <c r="E7" s="65" t="s">
        <v>205</v>
      </c>
    </row>
    <row r="8" spans="1:5" ht="21" x14ac:dyDescent="0.35">
      <c r="A8" s="92">
        <v>3</v>
      </c>
      <c r="B8" s="92"/>
      <c r="C8" s="92"/>
      <c r="D8" s="92" t="s">
        <v>60</v>
      </c>
      <c r="E8" s="172">
        <f>HLOOKUP(D5,'4.1 Comptes 2020 natures'!$E$3:$BE$158,2,0)</f>
        <v>4023666.78</v>
      </c>
    </row>
    <row r="9" spans="1:5" x14ac:dyDescent="0.25">
      <c r="A9" s="94"/>
      <c r="B9" s="94">
        <v>30</v>
      </c>
      <c r="C9" s="94"/>
      <c r="D9" s="94" t="s">
        <v>61</v>
      </c>
      <c r="E9" s="95">
        <f>HLOOKUP($D$5,'4.1 Comptes 2020 natures'!$E$3:$BE$158,3,0)</f>
        <v>469778.3</v>
      </c>
    </row>
    <row r="10" spans="1:5" x14ac:dyDescent="0.25">
      <c r="C10">
        <v>300</v>
      </c>
      <c r="D10" t="s">
        <v>80</v>
      </c>
      <c r="E10" s="89">
        <f>HLOOKUP($D$5,'4.1 Comptes 2020 natures'!$E$3:$BE$158,4,0)</f>
        <v>39726.800000000003</v>
      </c>
    </row>
    <row r="11" spans="1:5" x14ac:dyDescent="0.25">
      <c r="C11">
        <v>301</v>
      </c>
      <c r="D11" t="s">
        <v>81</v>
      </c>
      <c r="E11" s="89">
        <f>HLOOKUP($D$5,'4.1 Comptes 2020 natures'!$E$3:$BE$158,5,0)</f>
        <v>353234.5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71655.3</v>
      </c>
    </row>
    <row r="16" spans="1:5" x14ac:dyDescent="0.25">
      <c r="C16">
        <v>306</v>
      </c>
      <c r="D16" t="s">
        <v>85</v>
      </c>
      <c r="E16" s="89">
        <f>HLOOKUP($D$5,'4.1 Comptes 2020 natures'!$E$3:$BE$158,10,0)</f>
        <v>0</v>
      </c>
    </row>
    <row r="17" spans="2:5" x14ac:dyDescent="0.25">
      <c r="C17">
        <v>309</v>
      </c>
      <c r="D17" t="s">
        <v>86</v>
      </c>
      <c r="E17" s="89">
        <f>HLOOKUP($D$5,'4.1 Comptes 2020 natures'!$E$3:$BE$158,11,0)</f>
        <v>5161.7</v>
      </c>
    </row>
    <row r="18" spans="2:5" x14ac:dyDescent="0.25">
      <c r="E18" s="4"/>
    </row>
    <row r="19" spans="2:5" x14ac:dyDescent="0.25">
      <c r="B19" s="94">
        <v>31</v>
      </c>
      <c r="C19" s="94"/>
      <c r="D19" s="94" t="s">
        <v>87</v>
      </c>
      <c r="E19" s="95">
        <f>SUM(E20:E29)</f>
        <v>519678.63000000006</v>
      </c>
    </row>
    <row r="20" spans="2:5" x14ac:dyDescent="0.25">
      <c r="C20">
        <v>310</v>
      </c>
      <c r="D20" t="s">
        <v>88</v>
      </c>
      <c r="E20" s="89">
        <f>HLOOKUP($D$5,'4.1 Comptes 2020 natures'!$E$3:$BE$158,14,0)</f>
        <v>55216.9</v>
      </c>
    </row>
    <row r="21" spans="2:5" x14ac:dyDescent="0.25">
      <c r="C21">
        <v>311</v>
      </c>
      <c r="D21" t="s">
        <v>462</v>
      </c>
      <c r="E21" s="89">
        <f>HLOOKUP($D$5,'4.1 Comptes 2020 natures'!$E$3:$BE$158,15,0)</f>
        <v>56305.05</v>
      </c>
    </row>
    <row r="22" spans="2:5" x14ac:dyDescent="0.25">
      <c r="C22">
        <v>312</v>
      </c>
      <c r="D22" t="s">
        <v>90</v>
      </c>
      <c r="E22" s="89">
        <f>HLOOKUP($D$5,'4.1 Comptes 2020 natures'!$E$3:$BE$158,16,0)</f>
        <v>66682.350000000006</v>
      </c>
    </row>
    <row r="23" spans="2:5" x14ac:dyDescent="0.25">
      <c r="C23">
        <v>313</v>
      </c>
      <c r="D23" t="s">
        <v>91</v>
      </c>
      <c r="E23" s="89">
        <f>HLOOKUP($D$5,'4.1 Comptes 2020 natures'!$E$3:$BE$158,17,0)</f>
        <v>79418.28</v>
      </c>
    </row>
    <row r="24" spans="2:5" x14ac:dyDescent="0.25">
      <c r="C24">
        <v>314</v>
      </c>
      <c r="D24" t="s">
        <v>92</v>
      </c>
      <c r="E24" s="89">
        <f>HLOOKUP($D$5,'4.1 Comptes 2020 natures'!$E$3:$BE$158,18,0)</f>
        <v>115774.2</v>
      </c>
    </row>
    <row r="25" spans="2:5" x14ac:dyDescent="0.25">
      <c r="C25">
        <v>315</v>
      </c>
      <c r="D25" t="s">
        <v>93</v>
      </c>
      <c r="E25" s="89">
        <f>HLOOKUP($D$5,'4.1 Comptes 2020 natures'!$E$3:$BE$158,19,0)</f>
        <v>33160.449999999997</v>
      </c>
    </row>
    <row r="26" spans="2:5" x14ac:dyDescent="0.25">
      <c r="C26">
        <v>316</v>
      </c>
      <c r="D26" t="s">
        <v>94</v>
      </c>
      <c r="E26" s="89">
        <f>HLOOKUP($D$5,'4.1 Comptes 2020 natures'!$E$3:$BE$158,20,0)</f>
        <v>3877.2</v>
      </c>
    </row>
    <row r="27" spans="2:5" x14ac:dyDescent="0.25">
      <c r="C27">
        <v>317</v>
      </c>
      <c r="D27" t="s">
        <v>95</v>
      </c>
      <c r="E27" s="89">
        <f>HLOOKUP($D$5,'4.1 Comptes 2020 natures'!$E$3:$BE$158,21,0)</f>
        <v>17503.349999999999</v>
      </c>
    </row>
    <row r="28" spans="2:5" x14ac:dyDescent="0.25">
      <c r="C28">
        <v>318</v>
      </c>
      <c r="D28" t="s">
        <v>96</v>
      </c>
      <c r="E28" s="89">
        <f>HLOOKUP($D$5,'4.1 Comptes 2020 natures'!$E$3:$BE$158,22,0)</f>
        <v>89412.95</v>
      </c>
    </row>
    <row r="29" spans="2:5" x14ac:dyDescent="0.25">
      <c r="C29">
        <v>319</v>
      </c>
      <c r="D29" t="s">
        <v>97</v>
      </c>
      <c r="E29" s="89">
        <f>HLOOKUP($D$5,'4.1 Comptes 2020 natures'!$E$3:$BE$158,23,0)</f>
        <v>2327.9</v>
      </c>
    </row>
    <row r="30" spans="2:5" x14ac:dyDescent="0.25">
      <c r="E30" s="4"/>
    </row>
    <row r="31" spans="2:5" x14ac:dyDescent="0.25">
      <c r="B31" s="94">
        <v>33</v>
      </c>
      <c r="C31" s="94"/>
      <c r="D31" s="94" t="s">
        <v>98</v>
      </c>
      <c r="E31" s="95">
        <f>SUM(E32:E33)</f>
        <v>505358.98</v>
      </c>
    </row>
    <row r="32" spans="2:5" x14ac:dyDescent="0.25">
      <c r="C32">
        <v>330</v>
      </c>
      <c r="D32" t="s">
        <v>100</v>
      </c>
      <c r="E32" s="89">
        <f>HLOOKUP($D$5,'4.1 Comptes 2020 natures'!$E$3:$BE$158,26,0)</f>
        <v>472574.35</v>
      </c>
    </row>
    <row r="33" spans="2:5" x14ac:dyDescent="0.25">
      <c r="C33">
        <v>332</v>
      </c>
      <c r="D33" t="s">
        <v>99</v>
      </c>
      <c r="E33" s="89">
        <f>HLOOKUP($D$5,'4.1 Comptes 2020 natures'!$E$3:$BE$158,27,0)</f>
        <v>32784.629999999997</v>
      </c>
    </row>
    <row r="34" spans="2:5" x14ac:dyDescent="0.25">
      <c r="E34" s="4"/>
    </row>
    <row r="35" spans="2:5" x14ac:dyDescent="0.25">
      <c r="B35" s="94">
        <v>34</v>
      </c>
      <c r="C35" s="94"/>
      <c r="D35" s="94" t="s">
        <v>101</v>
      </c>
      <c r="E35" s="95">
        <f>SUM(E36:E41)</f>
        <v>37127.64</v>
      </c>
    </row>
    <row r="36" spans="2:5" x14ac:dyDescent="0.25">
      <c r="C36">
        <v>340</v>
      </c>
      <c r="D36" t="s">
        <v>102</v>
      </c>
      <c r="E36" s="89">
        <f>HLOOKUP($D$5,'4.1 Comptes 2020 natures'!$E$3:$BE$158,30,0)</f>
        <v>37127.64</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21282.55</v>
      </c>
    </row>
    <row r="44" spans="2:5" x14ac:dyDescent="0.25">
      <c r="C44">
        <v>350</v>
      </c>
      <c r="D44" t="s">
        <v>109</v>
      </c>
      <c r="E44" s="89">
        <f>HLOOKUP($D$5,'4.1 Comptes 2020 natures'!$E$3:$BE$158,38,0)</f>
        <v>0</v>
      </c>
    </row>
    <row r="45" spans="2:5" x14ac:dyDescent="0.25">
      <c r="C45">
        <v>351</v>
      </c>
      <c r="D45" t="s">
        <v>108</v>
      </c>
      <c r="E45" s="89">
        <f>HLOOKUP($D$5,'4.1 Comptes 2020 natures'!$E$3:$BE$158,39,0)</f>
        <v>21282.55</v>
      </c>
    </row>
    <row r="46" spans="2:5" x14ac:dyDescent="0.25">
      <c r="E46" s="4"/>
    </row>
    <row r="47" spans="2:5" x14ac:dyDescent="0.25">
      <c r="B47" s="94">
        <v>36</v>
      </c>
      <c r="C47" s="94"/>
      <c r="D47" s="94" t="s">
        <v>110</v>
      </c>
      <c r="E47" s="95">
        <f>SUM(E48:E55)</f>
        <v>2101514.6799999997</v>
      </c>
    </row>
    <row r="48" spans="2:5" x14ac:dyDescent="0.25">
      <c r="C48">
        <v>360</v>
      </c>
      <c r="D48" t="s">
        <v>111</v>
      </c>
      <c r="E48" s="89">
        <f>HLOOKUP($D$5,'4.1 Comptes 2020 natures'!$E$3:$BE$158,42,0)</f>
        <v>1410.1</v>
      </c>
    </row>
    <row r="49" spans="2:5" x14ac:dyDescent="0.25">
      <c r="C49">
        <v>361</v>
      </c>
      <c r="D49" t="s">
        <v>112</v>
      </c>
      <c r="E49" s="89">
        <f>HLOOKUP($D$5,'4.1 Comptes 2020 natures'!$E$3:$BE$158,43,0)</f>
        <v>1617649.88</v>
      </c>
    </row>
    <row r="50" spans="2:5" x14ac:dyDescent="0.25">
      <c r="C50">
        <v>362</v>
      </c>
      <c r="D50" t="s">
        <v>113</v>
      </c>
      <c r="E50" s="89">
        <f>HLOOKUP($D$5,'4.1 Comptes 2020 natures'!$E$3:$BE$158,44,0)</f>
        <v>0</v>
      </c>
    </row>
    <row r="51" spans="2:5" x14ac:dyDescent="0.25">
      <c r="C51">
        <v>363</v>
      </c>
      <c r="D51" t="s">
        <v>114</v>
      </c>
      <c r="E51" s="89">
        <f>HLOOKUP($D$5,'4.1 Comptes 2020 natures'!$E$3:$BE$158,45,0)</f>
        <v>474228.7</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8226</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320000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320000</v>
      </c>
    </row>
    <row r="67" spans="1:5" x14ac:dyDescent="0.25">
      <c r="E67" s="4"/>
    </row>
    <row r="68" spans="1:5" x14ac:dyDescent="0.25">
      <c r="B68" s="94">
        <v>39</v>
      </c>
      <c r="C68" s="94"/>
      <c r="D68" s="94" t="s">
        <v>128</v>
      </c>
      <c r="E68" s="95">
        <f>SUM(E69:E76)</f>
        <v>48926</v>
      </c>
    </row>
    <row r="69" spans="1:5" x14ac:dyDescent="0.25">
      <c r="C69">
        <v>390</v>
      </c>
      <c r="D69" t="s">
        <v>129</v>
      </c>
      <c r="E69" s="89">
        <f>HLOOKUP($D$5,'4.1 Comptes 2020 natures'!$E$3:$BE$158,63,0)</f>
        <v>0</v>
      </c>
    </row>
    <row r="70" spans="1:5" x14ac:dyDescent="0.25">
      <c r="C70">
        <v>391</v>
      </c>
      <c r="D70" t="s">
        <v>130</v>
      </c>
      <c r="E70" s="89">
        <f>HLOOKUP($D$5,'4.1 Comptes 2020 natures'!$E$3:$BE$158,64,0)</f>
        <v>48926</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4361735.78</v>
      </c>
    </row>
    <row r="80" spans="1:5" x14ac:dyDescent="0.25">
      <c r="A80" s="7"/>
      <c r="B80" s="96">
        <v>40</v>
      </c>
      <c r="C80" s="96"/>
      <c r="D80" s="96" t="s">
        <v>79</v>
      </c>
      <c r="E80" s="91">
        <f>SUM(E81:E84)</f>
        <v>3330906.65</v>
      </c>
    </row>
    <row r="81" spans="2:5" x14ac:dyDescent="0.25">
      <c r="C81">
        <v>400</v>
      </c>
      <c r="D81" t="s">
        <v>138</v>
      </c>
      <c r="E81" s="89">
        <f>HLOOKUP($D$5,'4.1 Comptes 2020 natures'!$E$3:$BE$158,75,0)</f>
        <v>2399050.6</v>
      </c>
    </row>
    <row r="82" spans="2:5" x14ac:dyDescent="0.25">
      <c r="C82">
        <v>401</v>
      </c>
      <c r="D82" t="s">
        <v>139</v>
      </c>
      <c r="E82" s="89">
        <f>HLOOKUP($D$5,'4.1 Comptes 2020 natures'!$E$3:$BE$158,76,0)</f>
        <v>186863.75</v>
      </c>
    </row>
    <row r="83" spans="2:5" x14ac:dyDescent="0.25">
      <c r="C83">
        <v>402</v>
      </c>
      <c r="D83" t="s">
        <v>140</v>
      </c>
      <c r="E83" s="89">
        <f>HLOOKUP($D$5,'4.1 Comptes 2020 natures'!$E$3:$BE$158,77,0)</f>
        <v>731404.75</v>
      </c>
    </row>
    <row r="84" spans="2:5" x14ac:dyDescent="0.25">
      <c r="C84">
        <v>403</v>
      </c>
      <c r="D84" t="s">
        <v>141</v>
      </c>
      <c r="E84" s="89">
        <f>HLOOKUP($D$5,'4.1 Comptes 2020 natures'!$E$3:$BE$158,78,0)</f>
        <v>13587.55</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643920.7300000001</v>
      </c>
    </row>
    <row r="93" spans="2:5" x14ac:dyDescent="0.25">
      <c r="C93">
        <v>420</v>
      </c>
      <c r="D93" t="s">
        <v>148</v>
      </c>
      <c r="E93" s="89">
        <f>HLOOKUP($D$5,'4.1 Comptes 2020 natures'!$E$3:$BE$158,87,0)</f>
        <v>36109.75</v>
      </c>
    </row>
    <row r="94" spans="2:5" x14ac:dyDescent="0.25">
      <c r="C94">
        <v>421</v>
      </c>
      <c r="D94" t="s">
        <v>149</v>
      </c>
      <c r="E94" s="89">
        <f>HLOOKUP($D$5,'4.1 Comptes 2020 natures'!$E$3:$BE$158,88,0)</f>
        <v>11893.75</v>
      </c>
    </row>
    <row r="95" spans="2:5" x14ac:dyDescent="0.25">
      <c r="C95">
        <v>422</v>
      </c>
      <c r="D95" t="s">
        <v>150</v>
      </c>
      <c r="E95" s="89">
        <f>HLOOKUP($D$5,'4.1 Comptes 2020 natures'!$E$3:$BE$158,89,0)</f>
        <v>0</v>
      </c>
    </row>
    <row r="96" spans="2:5" x14ac:dyDescent="0.25">
      <c r="C96">
        <v>423</v>
      </c>
      <c r="D96" t="s">
        <v>151</v>
      </c>
      <c r="E96" s="89">
        <f>HLOOKUP($D$5,'4.1 Comptes 2020 natures'!$E$3:$BE$158,90,0)</f>
        <v>4080</v>
      </c>
    </row>
    <row r="97" spans="2:5" x14ac:dyDescent="0.25">
      <c r="C97">
        <v>424</v>
      </c>
      <c r="D97" t="s">
        <v>152</v>
      </c>
      <c r="E97" s="89">
        <f>HLOOKUP($D$5,'4.1 Comptes 2020 natures'!$E$3:$BE$158,91,0)</f>
        <v>544175.30000000005</v>
      </c>
    </row>
    <row r="98" spans="2:5" x14ac:dyDescent="0.25">
      <c r="C98">
        <v>425</v>
      </c>
      <c r="D98" t="s">
        <v>153</v>
      </c>
      <c r="E98" s="89">
        <f>HLOOKUP($D$5,'4.1 Comptes 2020 natures'!$E$3:$BE$158,92,0)</f>
        <v>7424.65</v>
      </c>
    </row>
    <row r="99" spans="2:5" x14ac:dyDescent="0.25">
      <c r="C99">
        <v>426</v>
      </c>
      <c r="D99" t="s">
        <v>154</v>
      </c>
      <c r="E99" s="89">
        <f>HLOOKUP($D$5,'4.1 Comptes 2020 natures'!$E$3:$BE$158,93,0)</f>
        <v>40017.279999999999</v>
      </c>
    </row>
    <row r="100" spans="2:5" x14ac:dyDescent="0.25">
      <c r="C100">
        <v>427</v>
      </c>
      <c r="D100" t="s">
        <v>155</v>
      </c>
      <c r="E100" s="89">
        <f>HLOOKUP($D$5,'4.1 Comptes 2020 natures'!$E$3:$BE$158,94,0)</f>
        <v>220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47757.149999999994</v>
      </c>
    </row>
    <row r="110" spans="2:5" x14ac:dyDescent="0.25">
      <c r="C110">
        <v>440</v>
      </c>
      <c r="D110" t="s">
        <v>163</v>
      </c>
      <c r="E110" s="89">
        <f>HLOOKUP($D$5,'4.1 Comptes 2020 natures'!$E$3:$BE$158,104,0)</f>
        <v>23418.3</v>
      </c>
    </row>
    <row r="111" spans="2:5" x14ac:dyDescent="0.25">
      <c r="C111">
        <v>441</v>
      </c>
      <c r="D111" t="s">
        <v>164</v>
      </c>
      <c r="E111" s="89">
        <f>HLOOKUP($D$5,'4.1 Comptes 2020 natures'!$E$3:$BE$158,105,0)</f>
        <v>0</v>
      </c>
    </row>
    <row r="112" spans="2:5" x14ac:dyDescent="0.25">
      <c r="C112">
        <v>442</v>
      </c>
      <c r="D112" t="s">
        <v>165</v>
      </c>
      <c r="E112" s="89">
        <f>HLOOKUP($D$5,'4.1 Comptes 2020 natures'!$E$3:$BE$158,106,0)</f>
        <v>60.1</v>
      </c>
    </row>
    <row r="113" spans="2:5" x14ac:dyDescent="0.25">
      <c r="C113">
        <v>443</v>
      </c>
      <c r="D113" t="s">
        <v>166</v>
      </c>
      <c r="E113" s="89">
        <f>HLOOKUP($D$5,'4.1 Comptes 2020 natures'!$E$3:$BE$158,107,0)</f>
        <v>22991.5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1287.25</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2612.4499999999998</v>
      </c>
    </row>
    <row r="122" spans="2:5" x14ac:dyDescent="0.25">
      <c r="C122">
        <v>450</v>
      </c>
      <c r="D122" t="s">
        <v>172</v>
      </c>
      <c r="E122" s="89">
        <f>HLOOKUP($D$5,'4.1 Comptes 2020 natures'!$E$3:$BE$158,116,0)</f>
        <v>2612.4499999999998</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287612.80000000005</v>
      </c>
    </row>
    <row r="126" spans="2:5" x14ac:dyDescent="0.25">
      <c r="C126">
        <v>460</v>
      </c>
      <c r="D126" t="s">
        <v>176</v>
      </c>
      <c r="E126" s="89">
        <f>HLOOKUP($D$5,'4.1 Comptes 2020 natures'!$E$3:$BE$158,120,0)</f>
        <v>4183</v>
      </c>
    </row>
    <row r="127" spans="2:5" x14ac:dyDescent="0.25">
      <c r="C127">
        <v>461</v>
      </c>
      <c r="D127" t="s">
        <v>177</v>
      </c>
      <c r="E127" s="89">
        <f>HLOOKUP($D$5,'4.1 Comptes 2020 natures'!$E$3:$BE$158,121,0)</f>
        <v>145642.25</v>
      </c>
    </row>
    <row r="128" spans="2:5" x14ac:dyDescent="0.25">
      <c r="C128">
        <v>462</v>
      </c>
      <c r="D128" t="s">
        <v>113</v>
      </c>
      <c r="E128" s="89">
        <f>HLOOKUP($D$5,'4.1 Comptes 2020 natures'!$E$3:$BE$158,122,0)</f>
        <v>93242</v>
      </c>
    </row>
    <row r="129" spans="2:5" x14ac:dyDescent="0.25">
      <c r="C129">
        <v>463</v>
      </c>
      <c r="D129" t="s">
        <v>178</v>
      </c>
      <c r="E129" s="89">
        <f>HLOOKUP($D$5,'4.1 Comptes 2020 natures'!$E$3:$BE$158,123,0)</f>
        <v>44349.15</v>
      </c>
    </row>
    <row r="130" spans="2:5" x14ac:dyDescent="0.25">
      <c r="C130">
        <v>469</v>
      </c>
      <c r="D130" t="s">
        <v>179</v>
      </c>
      <c r="E130" s="89">
        <f>HLOOKUP($D$5,'4.1 Comptes 2020 natures'!$E$3:$BE$158,124,0)</f>
        <v>196.4</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48926</v>
      </c>
    </row>
    <row r="145" spans="1:5" x14ac:dyDescent="0.25">
      <c r="C145">
        <v>490</v>
      </c>
      <c r="D145" t="s">
        <v>129</v>
      </c>
      <c r="E145" s="89">
        <f>HLOOKUP($D$5,'4.1 Comptes 2020 natures'!$E$3:$BE$158,139,0)</f>
        <v>0</v>
      </c>
    </row>
    <row r="146" spans="1:5" x14ac:dyDescent="0.25">
      <c r="C146">
        <v>491</v>
      </c>
      <c r="D146" t="s">
        <v>130</v>
      </c>
      <c r="E146" s="89">
        <f>HLOOKUP($D$5,'4.1 Comptes 2020 natures'!$E$3:$BE$158,140,0)</f>
        <v>48926</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338069</v>
      </c>
    </row>
    <row r="158" spans="1:5" x14ac:dyDescent="0.25">
      <c r="C158">
        <v>900</v>
      </c>
      <c r="D158" t="s">
        <v>196</v>
      </c>
      <c r="E158" s="89">
        <f>HLOOKUP($D$5,'4.1 Comptes 2020 natures'!$E$3:$BE$158,152,0)</f>
        <v>6015.15</v>
      </c>
    </row>
    <row r="159" spans="1:5" x14ac:dyDescent="0.25">
      <c r="C159">
        <v>901</v>
      </c>
      <c r="D159" t="s">
        <v>197</v>
      </c>
      <c r="E159" s="89">
        <f>HLOOKUP($D$5,'4.1 Comptes 2020 natures'!$E$3:$BE$158,153,0)</f>
        <v>332053.84999999998</v>
      </c>
    </row>
    <row r="160" spans="1:5" x14ac:dyDescent="0.25">
      <c r="E160" s="4"/>
    </row>
    <row r="161" spans="4:5" x14ac:dyDescent="0.25">
      <c r="D161" s="7" t="s">
        <v>198</v>
      </c>
      <c r="E161" s="80">
        <f>HLOOKUP($D$5,'4.1 Comptes 2020 natures'!$E$3:$BE$158,155,0)</f>
        <v>338069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2022-06-13T11:56:58Z</dcterms:modified>
</cp:coreProperties>
</file>