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11" activeTab="11"/>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49" i="25"/>
  <c r="E10" i="46"/>
  <c r="C55" i="25"/>
  <c r="C50" i="25"/>
  <c r="D79" i="27"/>
  <c r="D33" i="27"/>
  <c r="E11" i="46"/>
  <c r="C56" i="25"/>
  <c r="C7" i="26"/>
  <c r="D31" i="27"/>
  <c r="D78" i="27"/>
  <c r="D32" i="27"/>
  <c r="D55" i="27"/>
  <c r="C69" i="25"/>
  <c r="C29" i="25"/>
  <c r="C12" i="45"/>
  <c r="D56" i="27"/>
  <c r="C75" i="25"/>
  <c r="C35" i="25"/>
  <c r="C18" i="45"/>
  <c r="C70" i="25"/>
  <c r="C30" i="25"/>
  <c r="C13" i="45"/>
  <c r="C14" i="60"/>
  <c r="D57" i="27"/>
  <c r="C76" i="25"/>
  <c r="C36"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6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46" i="25"/>
  <c r="C57" i="25"/>
  <c r="D76" i="27"/>
  <c r="C42" i="26"/>
  <c r="BF76" i="23"/>
  <c r="B16" i="80" s="1"/>
  <c r="BF153" i="23"/>
  <c r="BF157" i="23"/>
  <c r="D30" i="27"/>
  <c r="D41" i="27" s="1"/>
  <c r="C18" i="26"/>
  <c r="D8" i="27"/>
  <c r="BF140" i="23"/>
  <c r="B25" i="80" s="1"/>
  <c r="C37" i="25"/>
  <c r="BF105" i="23"/>
  <c r="BF99" i="23"/>
  <c r="B19" i="80" s="1"/>
  <c r="M75" i="23"/>
  <c r="BF88" i="23"/>
  <c r="B18" i="80" s="1"/>
  <c r="BF82" i="23"/>
  <c r="B17" i="80" s="1"/>
  <c r="C26"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1" i="25"/>
  <c r="C51" i="25"/>
  <c r="BB159" i="23"/>
  <c r="BB160" i="23" s="1"/>
  <c r="AL159" i="23"/>
  <c r="AL160" i="23" s="1"/>
  <c r="V159" i="23"/>
  <c r="V160" i="23" s="1"/>
  <c r="BC160" i="29"/>
  <c r="D65" i="27"/>
  <c r="D69" i="27" s="1"/>
  <c r="C14" i="45"/>
  <c r="C7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77" i="25"/>
  <c r="AM159" i="23"/>
  <c r="AM160" i="23" s="1"/>
  <c r="C15" i="25"/>
  <c r="C6" i="26"/>
  <c r="D11" i="27"/>
  <c r="AZ159" i="23"/>
  <c r="AZ160" i="23" s="1"/>
  <c r="AT159" i="23"/>
  <c r="AT160" i="23" s="1"/>
  <c r="C10" i="25"/>
  <c r="C16"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45" i="25"/>
  <c r="C47" i="25" s="1"/>
  <c r="C53" i="25" s="1"/>
  <c r="C59" i="25" s="1"/>
  <c r="BH181" i="23"/>
  <c r="AK160" i="29"/>
  <c r="E161" i="49"/>
  <c r="H159" i="23"/>
  <c r="H160" i="23" s="1"/>
  <c r="K160" i="29"/>
  <c r="G159" i="23"/>
  <c r="G160" i="23" s="1"/>
  <c r="BD160" i="29"/>
  <c r="C65" i="25"/>
  <c r="BI181" i="23"/>
  <c r="L159" i="23"/>
  <c r="L160" i="23" s="1"/>
  <c r="N159" i="23"/>
  <c r="N160" i="23" s="1"/>
  <c r="E182" i="23"/>
  <c r="BF182" i="23"/>
  <c r="BF181" i="23"/>
  <c r="E181" i="23"/>
  <c r="C25" i="25"/>
  <c r="C27"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6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9"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6" i="25"/>
  <c r="BI4" i="23"/>
  <c r="BI159" i="23" s="1"/>
  <c r="BI160" i="23" s="1"/>
  <c r="BG4" i="23"/>
  <c r="BG159" i="23" s="1"/>
  <c r="BG160" i="23" s="1"/>
  <c r="D45" i="27"/>
  <c r="BF179" i="23"/>
  <c r="BF75" i="23"/>
  <c r="M159" i="23"/>
  <c r="M160" i="23" s="1"/>
  <c r="BF4" i="23"/>
  <c r="C5" i="25"/>
  <c r="BH159" i="23"/>
  <c r="BH160" i="23" s="1"/>
  <c r="E75" i="23"/>
  <c r="E79" i="48" s="1"/>
  <c r="C33" i="25" l="1"/>
  <c r="C39" i="25" s="1"/>
  <c r="C73" i="25"/>
  <c r="C79" i="25" s="1"/>
  <c r="C17" i="25"/>
  <c r="C20" i="59"/>
  <c r="C14" i="59"/>
  <c r="C16" i="73"/>
  <c r="C22" i="73" s="1"/>
  <c r="C11" i="25"/>
  <c r="C10" i="45"/>
  <c r="C16" i="45" s="1"/>
  <c r="C22" i="45" s="1"/>
  <c r="C10" i="60"/>
  <c r="C16" i="60" s="1"/>
  <c r="C22" i="60" s="1"/>
  <c r="C10" i="59"/>
  <c r="D19" i="61"/>
  <c r="D23" i="61" s="1"/>
  <c r="BF159" i="23"/>
  <c r="BF160" i="23" s="1"/>
  <c r="D19" i="27"/>
  <c r="D23" i="27" s="1"/>
  <c r="C7" i="25"/>
  <c r="BF75" i="29"/>
  <c r="BH178" i="29"/>
  <c r="BF178" i="29"/>
  <c r="BH4" i="29"/>
  <c r="E159" i="23"/>
  <c r="E160" i="23" s="1"/>
  <c r="BH75" i="29"/>
  <c r="BI4" i="29"/>
  <c r="BI75" i="29"/>
  <c r="BG75" i="29"/>
  <c r="BG178" i="29"/>
  <c r="BH160" i="29" l="1"/>
  <c r="C16" i="59"/>
  <c r="C22" i="59" s="1"/>
  <c r="C13" i="25"/>
  <c r="C19"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<sst xmlns="http://schemas.openxmlformats.org/spreadsheetml/2006/main" count="5597" uniqueCount="823">
  <si>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</si>
  <si>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</si>
  <si>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</si>
  <si>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</si>
  <si>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</si>
  <si>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</si>
  <si>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</si>
  <si>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</si>
  <si>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</si>
  <si>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</si>
  <si>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</si>
  <si>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</si>
  <si>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</si>
  <si>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</si>
  <si>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</si>
  <si>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</si>
  <si>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</si>
  <si>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</si>
  <si>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</si>
  <si>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</si>
  <si>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</si>
  <si>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</si>
  <si>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</si>
  <si>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</si>
  <si>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</si>
  <si>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</si>
  <si>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</si>
  <si>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</si>
  <si>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</si>
  <si>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</si>
  <si>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</si>
  <si>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</si>
  <si>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</si>
  <si>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</si>
  <si>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</si>
  <si>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</si>
  <si>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</si>
  <si>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</si>
  <si>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</si>
  <si>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</si>
  <si>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</si>
  <si>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</si>
  <si>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</si>
  <si>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</si>
  <si>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</si>
  <si>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</si>
  <si>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</si>
  <si>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</si>
  <si>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</si>
  <si>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</si>
  <si>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</si>
  <si>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</si>
  <si>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</si>
  <si>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</si>
  <si>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</si>
  <si>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</si>
  <si>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</si>
  <si>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</si>
  <si>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</si>
  <si>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</si>
  <si>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</si>
  <si>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</si>
  <si>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</si>
  <si>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</si>
  <si>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</si>
  <si>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</si>
  <si>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</si>
  <si>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</si>
  <si>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</si>
  <si>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</si>
  <si>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</si>
  <si>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</si>
  <si>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</si>
  <si>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</si>
  <si>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</si>
  <si>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</si>
  <si>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</si>
  <si>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</si>
  <si>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</si>
  <si>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</si>
  <si>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</si>
  <si>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</si>
  <si>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</si>
  <si>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</si>
  <si>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</si>
  <si>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</si>
  <si>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</si>
  <si>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</si>
  <si>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</si>
  <si>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</si>
  <si>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</si>
  <si>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</si>
  <si>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</si>
  <si>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</si>
  <si>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</si>
  <si>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</si>
  <si>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</si>
  <si>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</si>
  <si>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</si>
  <si>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</si>
  <si>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</si>
  <si>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</si>
  <si>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</si>
  <si>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</si>
  <si>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</si>
  <si>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</si>
  <si>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</si>
  <si>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</si>
  <si>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</si>
  <si>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</si>
  <si>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</si>
  <si>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</si>
  <si>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</si>
  <si>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</si>
  <si>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</si>
  <si>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</si>
  <si>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</si>
  <si>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</si>
  <si>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</si>
  <si>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</si>
  <si>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</si>
  <si>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</si>
  <si>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</si>
  <si>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</si>
  <si>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</si>
  <si>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</si>
  <si>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</si>
  <si>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</si>
  <si>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</si>
  <si>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</si>
  <si>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</si>
  <si>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</si>
  <si>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</si>
  <si>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</si>
  <si>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</si>
  <si>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</si>
  <si>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</si>
  <si>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</si>
  <si>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</si>
  <si>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</si>
  <si>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</si>
  <si>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</si>
  <si>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</si>
  <si>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</si>
  <si>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</si>
  <si>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</si>
  <si>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</si>
  <si>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</si>
  <si>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</si>
  <si>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</si>
  <si>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</si>
  <si>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</si>
  <si>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</si>
  <si>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</si>
  <si>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</si>
  <si>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</si>
  <si>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</si>
  <si>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</si>
  <si>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</si>
  <si>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</si>
  <si>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</si>
  <si>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</si>
  <si>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</si>
  <si>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</si>
  <si>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</si>
  <si>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</si>
  <si>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</si>
  <si>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</si>
  <si>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</si>
  <si>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</si>
  <si>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</si>
  <si>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</si>
  <si>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</si>
  <si>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</si>
  <si>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</si>
  <si>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</si>
  <si>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</si>
  <si>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</si>
  <si>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</si>
  <si>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</si>
  <si>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</si>
  <si>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</si>
  <si>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</si>
  <si>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</si>
  <si>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</si>
  <si>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</si>
  <si>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</si>
  <si>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</si>
  <si>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</si>
  <si>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</si>
  <si>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</si>
  <si>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</si>
  <si>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</si>
  <si>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</si>
  <si>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</si>
  <si>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</si>
  <si>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</si>
  <si>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</si>
  <si>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</si>
  <si>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</si>
  <si>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</si>
  <si>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</si>
  <si>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</si>
  <si>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</si>
  <si>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</si>
  <si>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</si>
  <si>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</si>
  <si>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</si>
  <si>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</si>
  <si>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</si>
  <si>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</si>
  <si>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</si>
  <si>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</si>
  <si>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</si>
  <si>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</si>
  <si>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</si>
  <si>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</si>
  <si>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</si>
  <si>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</si>
  <si>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</si>
  <si>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</si>
  <si>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</si>
  <si>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</si>
  <si>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</si>
  <si>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</si>
  <si>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</si>
  <si>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</si>
  <si>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</si>
  <si>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</si>
  <si>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</si>
  <si>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</si>
  <si>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</si>
  <si>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</si>
  <si>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</si>
  <si>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</si>
  <si>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</si>
  <si>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</si>
  <si>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</si>
  <si>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</si>
  <si>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</si>
  <si>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</si>
  <si>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</si>
  <si>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</si>
  <si>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</si>
  <si>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</si>
  <si>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</si>
  <si>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</si>
  <si>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</si>
  <si>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</si>
  <si>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</si>
  <si>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</si>
  <si>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</si>
  <si>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</si>
  <si>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</si>
  <si>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</si>
  <si>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</si>
  <si>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</si>
  <si>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</si>
  <si>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</si>
  <si>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</si>
  <si>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</si>
  <si>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</si>
  <si>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</si>
  <si>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</si>
  <si>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</si>
  <si>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</si>
  <si>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</si>
  <si>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</si>
  <si>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</si>
  <si>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</si>
  <si>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</si>
  <si>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</si>
  <si>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</si>
  <si>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</si>
  <si>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</si>
  <si>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</si>
  <si>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</si>
  <si>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</si>
  <si>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</si>
  <si>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</si>
  <si>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</si>
  <si>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</si>
  <si>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</si>
  <si>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</si>
  <si>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</si>
  <si>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</si>
  <si>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</si>
  <si>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</si>
  <si>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</si>
  <si>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</si>
  <si>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</si>
  <si>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</si>
  <si>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</si>
  <si>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</si>
  <si>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</si>
  <si>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</si>
  <si>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</si>
  <si>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</si>
  <si>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</si>
  <si>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</si>
  <si>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</si>
  <si>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</si>
  <si>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</si>
  <si>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</si>
  <si>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</si>
  <si>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</si>
  <si>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</si>
  <si>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</si>
  <si>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</si>
  <si>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</si>
  <si>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</si>
  <si>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</si>
  <si>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</si>
  <si>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</si>
  <si>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</si>
  <si>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</si>
  <si>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</si>
  <si>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</si>
  <si>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</si>
  <si>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</si>
  <si>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</si>
  <si>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</si>
  <si>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</si>
  <si>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</si>
  <si>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</si>
  <si>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</si>
  <si>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</si>
  <si>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</si>
  <si>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</si>
  <si>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</si>
  <si>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</si>
  <si>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</si>
  <si>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</si>
  <si>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</si>
  <si>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</si>
  <si>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</si>
  <si>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</si>
  <si>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</si>
  <si>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</si>
  <si>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</si>
  <si>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</si>
  <si>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</si>
  <si>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</si>
  <si>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</si>
  <si>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</si>
  <si>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</si>
  <si>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</si>
  <si>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</si>
  <si>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</si>
  <si>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</si>
  <si>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</si>
  <si>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</si>
  <si>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</si>
  <si>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</si>
  <si>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</si>
  <si>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</si>
  <si>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</si>
  <si>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</si>
  <si>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</si>
  <si>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</si>
  <si>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</si>
  <si>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</si>
  <si>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</si>
  <si>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</si>
  <si>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</si>
  <si>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</si>
  <si>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</si>
  <si>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</si>
  <si>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</si>
  <si>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</si>
  <si>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</si>
  <si>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</si>
  <si>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</si>
  <si>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</si>
  <si>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</si>
  <si>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</si>
  <si>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</si>
  <si>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</si>
  <si>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</si>
  <si>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</si>
  <si>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</si>
  <si>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</si>
  <si>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</si>
  <si>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</si>
  <si>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</si>
  <si>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</si>
  <si>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</si>
  <si>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</si>
  <si>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</si>
  <si>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</si>
  <si>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</si>
  <si>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</si>
  <si>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</si>
  <si>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</si>
  <si>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</si>
  <si>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</si>
  <si>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</si>
  <si>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</si>
  <si>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</si>
  <si>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</si>
  <si>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</si>
  <si>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</si>
  <si>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</si>
  <si>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</si>
  <si>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</si>
  <si>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</si>
  <si>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</si>
  <si>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</si>
  <si>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</si>
  <si>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</si>
  <si>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</si>
  <si>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</si>
  <si>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</si>
  <si>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</si>
  <si>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</si>
  <si>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</si>
  <si>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</si>
  <si>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</si>
  <si>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</si>
  <si>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</si>
  <si>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</si>
  <si>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</si>
  <si>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</si>
  <si>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</si>
  <si>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</si>
  <si>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</si>
  <si>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</si>
  <si>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</si>
  <si>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</si>
  <si>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</si>
  <si>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</si>
  <si>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</si>
  <si>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</si>
  <si>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</si>
  <si>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</si>
  <si>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</si>
  <si>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</si>
  <si>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</si>
  <si>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</si>
  <si>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</si>
  <si>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</si>
  <si>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</si>
  <si>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</si>
  <si>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</si>
  <si>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</si>
  <si>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</si>
  <si>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</si>
  <si>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</si>
  <si>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</si>
  <si>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</si>
  <si>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</si>
  <si>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</si>
  <si>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</si>
  <si>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</si>
  <si>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</si>
  <si>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</si>
  <si>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</si>
  <si>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</si>
  <si>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</si>
  <si>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</si>
  <si>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</si>
  <si>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</si>
  <si>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</si>
  <si>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</si>
  <si>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</si>
  <si>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</si>
  <si>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</si>
  <si>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</si>
  <si>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</si>
  <si>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</si>
  <si>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</si>
  <si>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</si>
  <si>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</si>
  <si>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</si>
  <si>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</si>
  <si>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</si>
  <si>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</si>
  <si>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</si>
  <si>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</si>
  <si>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</si>
  <si>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</si>
  <si>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</si>
  <si>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</si>
  <si>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</si>
  <si>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</si>
  <si>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</si>
  <si>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</si>
  <si>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</si>
  <si>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</si>
  <si>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</si>
  <si>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</si>
  <si>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</si>
  <si>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</si>
  <si>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</si>
  <si>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</si>
  <si>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</si>
  <si>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</si>
  <si>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</si>
  <si>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</si>
  <si>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</si>
  <si>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</si>
  <si>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</si>
  <si>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</si>
  <si>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</si>
  <si>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</si>
  <si>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</si>
  <si>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</si>
  <si>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</si>
  <si>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</si>
  <si>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</si>
  <si>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</si>
  <si>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</si>
  <si>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</si>
  <si>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</si>
  <si>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</si>
  <si>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</si>
  <si>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</si>
  <si>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</si>
  <si>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</si>
  <si>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</si>
  <si>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</si>
  <si>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</si>
  <si>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</si>
  <si>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</si>
  <si>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</si>
  <si>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</si>
  <si>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</si>
  <si>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</si>
  <si>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</si>
  <si>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</si>
  <si>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</si>
  <si>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</si>
  <si>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</si>
  <si>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</si>
  <si>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</si>
  <si>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</si>
  <si>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</si>
  <si>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</si>
  <si>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</si>
  <si>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</si>
  <si>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</si>
  <si>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</si>
  <si>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</si>
  <si>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</si>
  <si>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</si>
  <si>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</si>
  <si>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</si>
  <si>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</si>
  <si>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</si>
  <si>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</si>
  <si>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</si>
  <si>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</si>
  <si>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</si>
  <si>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</si>
  <si>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</si>
  <si>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</si>
  <si>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</si>
  <si>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</si>
  <si>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</si>
  <si>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</si>
  <si>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</si>
  <si>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</si>
  <si>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</si>
  <si>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</si>
  <si>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</si>
  <si>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</si>
  <si>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</si>
  <si>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</si>
  <si>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</si>
  <si>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</si>
  <si>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</si>
  <si>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</si>
  <si>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</si>
  <si>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</si>
  <si>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</si>
  <si>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</si>
  <si>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</si>
  <si>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</si>
  <si>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</si>
  <si>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</si>
  <si>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</si>
  <si>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</si>
  <si>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</si>
  <si>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</si>
  <si>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</si>
  <si>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</si>
  <si>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</si>
  <si>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</si>
  <si>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</si>
  <si>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</si>
  <si>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</si>
  <si>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</si>
  <si>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</si>
  <si>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</si>
  <si>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</si>
  <si>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</si>
  <si>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</si>
  <si>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</si>
  <si>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</si>
  <si>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</si>
  <si>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</si>
  <si>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</si>
  <si>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</si>
  <si>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</si>
  <si>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</si>
  <si>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</si>
  <si>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</si>
  <si>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</si>
  <si>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</si>
  <si>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</si>
  <si>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</si>
  <si>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</si>
  <si>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</si>
  <si>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</si>
  <si>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</si>
  <si>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</si>
  <si>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</si>
  <si>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</si>
  <si>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</si>
  <si>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</si>
  <si>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</si>
  <si>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</si>
  <si>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</si>
  <si>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</si>
  <si>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</si>
  <si>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</si>
  <si>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</si>
  <si>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</si>
  <si>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</si>
  <si>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</si>
  <si>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</si>
  <si>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</si>
  <si>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</si>
  <si>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</si>
  <si>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</si>
  <si>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</si>
  <si>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</si>
  <si>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</si>
  <si>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</si>
  <si>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</si>
  <si>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</si>
  <si>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</si>
  <si>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</si>
  <si>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</si>
  <si>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</si>
  <si>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</si>
  <si>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</si>
  <si>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</si>
  <si>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</si>
  <si>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</si>
  <si>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</si>
  <si>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</si>
  <si>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</si>
  <si>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</si>
  <si>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</si>
  <si>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</si>
  <si>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</si>
  <si>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</si>
  <si>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</si>
  <si>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</si>
  <si>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</si>
  <si>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</si>
  <si>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</si>
  <si>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</si>
  <si>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</si>
  <si>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</si>
  <si>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</si>
  <si>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</si>
  <si>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</si>
  <si>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</si>
  <si>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</si>
  <si>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</si>
  <si>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</si>
  <si>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</si>
  <si>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</si>
  <si>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</si>
  <si>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</si>
  <si>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</si>
  <si>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</si>
  <si>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</si>
  <si>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</si>
  <si>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</si>
  <si>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</si>
  <si>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</si>
  <si>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</si>
  <si>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</si>
  <si>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</si>
  <si>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</si>
  <si>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</si>
  <si>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</si>
  <si>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</si>
  <si>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</si>
  <si>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</si>
  <si>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</si>
  <si>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</si>
  <si>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</si>
  <si>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</si>
  <si>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</si>
  <si>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</si>
  <si>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</si>
  <si>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</si>
  <si>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</si>
  <si>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</si>
  <si>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</si>
  <si>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</si>
  <si>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</si>
  <si>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</si>
  <si>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</si>
  <si>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</si>
  <si>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</si>
  <si>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</si>
  <si>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</si>
  <si>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</si>
  <si>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</si>
  <si>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</si>
  <si>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</si>
  <si>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</si>
  <si>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</si>
  <si>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</si>
  <si>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</si>
  <si>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</si>
  <si>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</si>
  <si>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</si>
  <si>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</si>
  <si>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</si>
  <si>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</si>
  <si>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</si>
  <si>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</si>
  <si>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</si>
  <si>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</si>
  <si>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</si>
  <si>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</si>
  <si>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</si>
  <si>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</si>
  <si>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</si>
  <si>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</si>
  <si>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</si>
  <si>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</si>
  <si>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</si>
  <si>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</si>
  <si>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</si>
  <si>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</si>
  <si>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</si>
  <si>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</si>
  <si>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</si>
  <si>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</si>
  <si>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</si>
  <si>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</si>
  <si>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</si>
  <si>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</si>
  <si>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</si>
  <si>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</si>
  <si>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</si>
  <si>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</si>
  <si>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</si>
  <si>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</si>
  <si>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</si>
  <si>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</si>
  <si>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</si>
  <si>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</si>
  <si>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</si>
  <si>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</si>
  <si>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</si>
  <si>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</si>
  <si>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</si>
  <si>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</si>
  <si>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</si>
  <si>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</si>
  <si>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</si>
  <si>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</si>
  <si>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</si>
  <si>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</si>
  <si>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</si>
  <si>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</si>
  <si>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</si>
  <si>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</si>
  <si>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</si>
  <si>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</si>
  <si>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</si>
  <si>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</si>
  <si>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</si>
  <si>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</si>
  <si>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</si>
  <si>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</si>
  <si>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</si>
  <si>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</si>
  <si>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</si>
  <si>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</si>
  <si>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</si>
  <si>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</si>
  <si>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</si>
  <si>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</si>
  <si>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</si>
  <si>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</si>
  <si>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</si>
  <si>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</si>
  <si>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</si>
  <si>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</si>
  <si>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</si>
  <si>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</si>
  <si>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</si>
  <si>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</si>
  <si>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</si>
  <si>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</si>
  <si>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</si>
  <si>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</si>
  <si>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</si>
  <si>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</si>
  <si>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</si>
  <si>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</si>
  <si>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</si>
  <si>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</si>
  <si>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</si>
  <si>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</si>
  <si>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</si>
  <si>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</si>
  <si>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</si>
  <si>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</si>
  <si>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</si>
  <si>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</si>
  <si>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</si>
  <si>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</si>
  <si>
    <t>Ensemble des communes jurassiennes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</si>
</sst>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79"/>
  <sheetViews>
    <sheetView tabSelected="1" workbookViewId="0">
      <selection activeCell="E20" sqref="E20"/>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2" spans="1:3" x14ac:dyDescent="0.25">
      <c r="A2" s="7" t="s">
        <v>822</v>
      </c>
    </row>
    <row r="4" spans="1:3" x14ac:dyDescent="0.25">
      <c r="A4" s="51" t="s">
        <v>203</v>
      </c>
      <c r="B4" s="51" t="s">
        <v>204</v>
      </c>
      <c r="C4" s="51" t="s">
        <v>205</v>
      </c>
    </row>
    <row r="5" spans="1:3" x14ac:dyDescent="0.25">
      <c r="A5" s="52" t="s">
        <v>212</v>
      </c>
      <c r="B5" s="53" t="s">
        <v>206</v>
      </c>
      <c r="C5" s="56">
        <f>'4.1 Comptes 2020 natures'!BF5+'4.1 Comptes 2020 natures'!BF15+'4.1 Comptes 2020 natures'!BF27+'4.1 Comptes 2020 natures'!BF39+'4.1 Comptes 2020 natures'!BF43+'4.1 Comptes 2020 natures'!BF53</f>
        <v>355766168.86000013</v>
      </c>
    </row>
    <row r="6" spans="1:3" x14ac:dyDescent="0.25">
      <c r="A6" s="52" t="s">
        <v>213</v>
      </c>
      <c r="B6" s="53" t="s">
        <v>207</v>
      </c>
      <c r="C6" s="56">
        <f>'4.1 Comptes 2020 natures'!BF76+'4.1 Comptes 2020 natures'!BF82+'4.1 Comptes 2020 natures'!BF88+'4.1 Comptes 2020 natures'!BF99+'4.1 Comptes 2020 natures'!BF117+'4.1 Comptes 2020 natures'!BF121+'4.1 Comptes 2020 natures'!BF128</f>
        <v>364767819.93000001</v>
      </c>
    </row>
    <row r="7" spans="1:3" x14ac:dyDescent="0.25">
      <c r="A7" s="53"/>
      <c r="B7" s="55" t="s">
        <v>208</v>
      </c>
      <c r="C7" s="62">
        <f>C6-C5</f>
        <v>9001651.0699998736</v>
      </c>
    </row>
    <row r="8" spans="1:3" x14ac:dyDescent="0.25">
      <c r="A8" s="53"/>
      <c r="B8" s="53"/>
      <c r="C8" s="53"/>
    </row>
    <row r="9" spans="1:3" x14ac:dyDescent="0.25">
      <c r="A9" s="53">
        <v>34</v>
      </c>
      <c r="B9" s="53" t="s">
        <v>101</v>
      </c>
      <c r="C9" s="56">
        <f>'4.1 Comptes 2020 natures'!BF31</f>
        <v>9277984.3499999978</v>
      </c>
    </row>
    <row r="10" spans="1:3" x14ac:dyDescent="0.25">
      <c r="A10" s="53">
        <v>44</v>
      </c>
      <c r="B10" s="53" t="s">
        <v>162</v>
      </c>
      <c r="C10" s="56">
        <f>'4.1 Comptes 2020 natures'!BF105</f>
        <v>13891621.57</v>
      </c>
    </row>
    <row r="11" spans="1:3" x14ac:dyDescent="0.25">
      <c r="A11" s="53"/>
      <c r="B11" s="55" t="s">
        <v>244</v>
      </c>
      <c r="C11" s="62">
        <f>C10-C9</f>
        <v>4613637.2200000025</v>
      </c>
    </row>
    <row r="12" spans="1:3" x14ac:dyDescent="0.25">
      <c r="A12" s="53"/>
      <c r="B12" s="53"/>
      <c r="C12" s="53"/>
    </row>
    <row r="13" spans="1:3" x14ac:dyDescent="0.25">
      <c r="A13" s="53"/>
      <c r="B13" s="55" t="s">
        <v>209</v>
      </c>
      <c r="C13" s="62">
        <f>C7+C11</f>
        <v>13615288.289999876</v>
      </c>
    </row>
    <row r="14" spans="1:3" x14ac:dyDescent="0.25">
      <c r="A14" s="53"/>
      <c r="B14" s="53"/>
      <c r="C14" s="53"/>
    </row>
    <row r="15" spans="1:3" x14ac:dyDescent="0.25">
      <c r="A15" s="53">
        <v>38</v>
      </c>
      <c r="B15" s="53" t="s">
        <v>121</v>
      </c>
      <c r="C15" s="56">
        <f>'4.1 Comptes 2020 natures'!BF56</f>
        <v>5292667.4400000004</v>
      </c>
    </row>
    <row r="16" spans="1:3" x14ac:dyDescent="0.25">
      <c r="A16" s="53">
        <v>48</v>
      </c>
      <c r="B16" s="53" t="s">
        <v>181</v>
      </c>
      <c r="C16" s="56">
        <f>'4.1 Comptes 2020 natures'!BF131</f>
        <v>2567175.7000000002</v>
      </c>
    </row>
    <row r="17" spans="1:3" x14ac:dyDescent="0.25">
      <c r="A17" s="53"/>
      <c r="B17" s="55" t="s">
        <v>210</v>
      </c>
      <c r="C17" s="62">
        <f>C16-C15</f>
        <v>-2725491.74</v>
      </c>
    </row>
    <row r="18" spans="1:3" x14ac:dyDescent="0.25">
      <c r="A18" s="53"/>
      <c r="B18" s="53"/>
      <c r="C18" s="53"/>
    </row>
    <row r="19" spans="1:3" x14ac:dyDescent="0.25">
      <c r="A19" s="53"/>
      <c r="B19" s="55" t="s">
        <v>211</v>
      </c>
      <c r="C19" s="62">
        <f>C13+C17</f>
        <v>10889796.549999876</v>
      </c>
    </row>
    <row r="21" spans="1:3" x14ac:dyDescent="0.25">
      <c r="A21" s="7" t="s">
        <v>214</v>
      </c>
    </row>
    <row r="22" spans="1:3" x14ac:dyDescent="0.25">
      <c r="A22" s="7" t="s">
        <v>202</v>
      </c>
    </row>
    <row r="24" spans="1:3" x14ac:dyDescent="0.25">
      <c r="A24" s="51" t="s">
        <v>203</v>
      </c>
      <c r="B24" s="51" t="s">
        <v>204</v>
      </c>
      <c r="C24" s="51" t="s">
        <v>205</v>
      </c>
    </row>
    <row r="25" spans="1:3" x14ac:dyDescent="0.25">
      <c r="A25" s="52" t="s">
        <v>212</v>
      </c>
      <c r="B25" s="53" t="s">
        <v>206</v>
      </c>
      <c r="C25" s="56">
        <f>'4.1 Comptes 2020 natures'!BG5+'4.1 Comptes 2020 natures'!BG15+'4.1 Comptes 2020 natures'!BG27+'4.1 Comptes 2020 natures'!BG39+'4.1 Comptes 2020 natures'!BG43+'4.1 Comptes 2020 natures'!BG53</f>
        <v>188244587.87</v>
      </c>
    </row>
    <row r="26" spans="1:3" x14ac:dyDescent="0.25">
      <c r="A26" s="52" t="s">
        <v>213</v>
      </c>
      <c r="B26" s="53" t="s">
        <v>207</v>
      </c>
      <c r="C26" s="56">
        <f>'4.1 Comptes 2020 natures'!BG76+'4.1 Comptes 2020 natures'!BG82+'4.1 Comptes 2020 natures'!BG88+'4.1 Comptes 2020 natures'!BG99+'4.1 Comptes 2020 natures'!BG117+'4.1 Comptes 2020 natures'!BG121+'4.1 Comptes 2020 natures'!BG128</f>
        <v>189855043.44999999</v>
      </c>
    </row>
    <row r="27" spans="1:3" x14ac:dyDescent="0.25">
      <c r="A27" s="53"/>
      <c r="B27" s="55" t="s">
        <v>208</v>
      </c>
      <c r="C27" s="62">
        <f>C26-C25</f>
        <v>1610455.5799999833</v>
      </c>
    </row>
    <row r="28" spans="1:3" x14ac:dyDescent="0.25">
      <c r="A28" s="53"/>
      <c r="B28" s="53"/>
      <c r="C28" s="56"/>
    </row>
    <row r="29" spans="1:3" x14ac:dyDescent="0.25">
      <c r="A29" s="53">
        <v>34</v>
      </c>
      <c r="B29" s="53" t="s">
        <v>101</v>
      </c>
      <c r="C29" s="56">
        <f>'4.1 Comptes 2020 natures'!BG31</f>
        <v>4729206.1399999997</v>
      </c>
    </row>
    <row r="30" spans="1:3" x14ac:dyDescent="0.25">
      <c r="A30" s="53">
        <v>44</v>
      </c>
      <c r="B30" s="53" t="s">
        <v>162</v>
      </c>
      <c r="C30" s="56">
        <f>'4.1 Comptes 2020 natures'!BG105</f>
        <v>6031841.7999999998</v>
      </c>
    </row>
    <row r="31" spans="1:3" x14ac:dyDescent="0.25">
      <c r="A31" s="53"/>
      <c r="B31" s="55" t="s">
        <v>244</v>
      </c>
      <c r="C31" s="62">
        <f>C30-C29</f>
        <v>1302635.6600000001</v>
      </c>
    </row>
    <row r="32" spans="1:3" x14ac:dyDescent="0.25">
      <c r="A32" s="53"/>
      <c r="B32" s="53"/>
      <c r="C32" s="56"/>
    </row>
    <row r="33" spans="1:3" x14ac:dyDescent="0.25">
      <c r="A33" s="53"/>
      <c r="B33" s="55" t="s">
        <v>209</v>
      </c>
      <c r="C33" s="62">
        <f>C27+C31</f>
        <v>2913091.2399999835</v>
      </c>
    </row>
    <row r="34" spans="1:3" x14ac:dyDescent="0.25">
      <c r="A34" s="53"/>
      <c r="B34" s="53"/>
      <c r="C34" s="56"/>
    </row>
    <row r="35" spans="1:3" x14ac:dyDescent="0.25">
      <c r="A35" s="53">
        <v>38</v>
      </c>
      <c r="B35" s="53" t="s">
        <v>121</v>
      </c>
      <c r="C35" s="56">
        <f>'4.1 Comptes 2020 natures'!BG56</f>
        <v>987812.67</v>
      </c>
    </row>
    <row r="36" spans="1:3" x14ac:dyDescent="0.25">
      <c r="A36" s="53">
        <v>48</v>
      </c>
      <c r="B36" s="53" t="s">
        <v>181</v>
      </c>
      <c r="C36" s="56">
        <f>'4.1 Comptes 2020 natures'!BG131</f>
        <v>1527131.03</v>
      </c>
    </row>
    <row r="37" spans="1:3" x14ac:dyDescent="0.25">
      <c r="A37" s="53"/>
      <c r="B37" s="55" t="s">
        <v>210</v>
      </c>
      <c r="C37" s="62">
        <f>C36-C35</f>
        <v>539318.36</v>
      </c>
    </row>
    <row r="38" spans="1:3" x14ac:dyDescent="0.25">
      <c r="A38" s="53"/>
      <c r="B38" s="53"/>
      <c r="C38" s="56"/>
    </row>
    <row r="39" spans="1:3" x14ac:dyDescent="0.25">
      <c r="A39" s="53"/>
      <c r="B39" s="55" t="s">
        <v>211</v>
      </c>
      <c r="C39" s="62">
        <f>C33+C37</f>
        <v>3452409.5999999833</v>
      </c>
    </row>
    <row r="41" spans="1:3" x14ac:dyDescent="0.25">
      <c r="A41" s="7" t="s">
        <v>215</v>
      </c>
    </row>
    <row r="42" spans="1:3" x14ac:dyDescent="0.25">
      <c r="A42" s="7" t="s">
        <v>202</v>
      </c>
    </row>
    <row r="44" spans="1:3" x14ac:dyDescent="0.25">
      <c r="A44" s="51" t="s">
        <v>203</v>
      </c>
      <c r="B44" s="51" t="s">
        <v>204</v>
      </c>
      <c r="C44" s="51" t="s">
        <v>205</v>
      </c>
    </row>
    <row r="45" spans="1:3" x14ac:dyDescent="0.25">
      <c r="A45" s="52" t="s">
        <v>212</v>
      </c>
      <c r="B45" s="53" t="s">
        <v>206</v>
      </c>
      <c r="C45" s="56">
        <f>'4.1 Comptes 2020 natures'!BH5+'4.1 Comptes 2020 natures'!BH15+'4.1 Comptes 2020 natures'!BH27+'4.1 Comptes 2020 natures'!BH39+'4.1 Comptes 2020 natures'!BH43+'4.1 Comptes 2020 natures'!BH53</f>
        <v>52327622.390000008</v>
      </c>
    </row>
    <row r="46" spans="1:3" x14ac:dyDescent="0.25">
      <c r="A46" s="52" t="s">
        <v>213</v>
      </c>
      <c r="B46" s="53" t="s">
        <v>207</v>
      </c>
      <c r="C46" s="56">
        <f>'4.1 Comptes 2020 natures'!BH76+'4.1 Comptes 2020 natures'!BH82+'4.1 Comptes 2020 natures'!BH88+'4.1 Comptes 2020 natures'!BH99+'4.1 Comptes 2020 natures'!BH117+'4.1 Comptes 2020 natures'!BH121+'4.1 Comptes 2020 natures'!BH128</f>
        <v>56992939.200000003</v>
      </c>
    </row>
    <row r="47" spans="1:3" x14ac:dyDescent="0.25">
      <c r="A47" s="53"/>
      <c r="B47" s="55" t="s">
        <v>208</v>
      </c>
      <c r="C47" s="62">
        <f>C46-C45</f>
        <v>4665316.8099999949</v>
      </c>
    </row>
    <row r="48" spans="1:3" x14ac:dyDescent="0.25">
      <c r="A48" s="53"/>
      <c r="B48" s="53"/>
      <c r="C48" s="56"/>
    </row>
    <row r="49" spans="1:3" x14ac:dyDescent="0.25">
      <c r="A49" s="53">
        <v>34</v>
      </c>
      <c r="B49" s="53" t="s">
        <v>101</v>
      </c>
      <c r="C49" s="56">
        <f>'4.1 Comptes 2020 natures'!BH31</f>
        <v>1127442.0800000003</v>
      </c>
    </row>
    <row r="50" spans="1:3" x14ac:dyDescent="0.25">
      <c r="A50" s="53">
        <v>44</v>
      </c>
      <c r="B50" s="53" t="s">
        <v>162</v>
      </c>
      <c r="C50" s="56">
        <f>'4.1 Comptes 2020 natures'!BH105</f>
        <v>1668859.72</v>
      </c>
    </row>
    <row r="51" spans="1:3" x14ac:dyDescent="0.25">
      <c r="A51" s="53"/>
      <c r="B51" s="55" t="s">
        <v>244</v>
      </c>
      <c r="C51" s="62">
        <f>C50-C49</f>
        <v>541417.63999999966</v>
      </c>
    </row>
    <row r="52" spans="1:3" x14ac:dyDescent="0.25">
      <c r="A52" s="53"/>
      <c r="B52" s="53"/>
      <c r="C52" s="56"/>
    </row>
    <row r="53" spans="1:3" x14ac:dyDescent="0.25">
      <c r="A53" s="53"/>
      <c r="B53" s="55" t="s">
        <v>209</v>
      </c>
      <c r="C53" s="62">
        <f>C47+C51</f>
        <v>5206734.4499999946</v>
      </c>
    </row>
    <row r="54" spans="1:3" x14ac:dyDescent="0.25">
      <c r="A54" s="53"/>
      <c r="B54" s="53"/>
      <c r="C54" s="56"/>
    </row>
    <row r="55" spans="1:3" x14ac:dyDescent="0.25">
      <c r="A55" s="53">
        <v>38</v>
      </c>
      <c r="B55" s="53" t="s">
        <v>121</v>
      </c>
      <c r="C55" s="56">
        <f>'4.1 Comptes 2020 natures'!BH56</f>
        <v>762430</v>
      </c>
    </row>
    <row r="56" spans="1:3" x14ac:dyDescent="0.25">
      <c r="A56" s="53">
        <v>48</v>
      </c>
      <c r="B56" s="53" t="s">
        <v>181</v>
      </c>
      <c r="C56" s="56">
        <f>'4.1 Comptes 2020 natures'!BH131</f>
        <v>375093.52</v>
      </c>
    </row>
    <row r="57" spans="1:3" x14ac:dyDescent="0.25">
      <c r="A57" s="53"/>
      <c r="B57" s="55" t="s">
        <v>210</v>
      </c>
      <c r="C57" s="62">
        <f>C56-C55</f>
        <v>-387336.48</v>
      </c>
    </row>
    <row r="58" spans="1:3" x14ac:dyDescent="0.25">
      <c r="A58" s="53"/>
      <c r="B58" s="53"/>
      <c r="C58" s="56"/>
    </row>
    <row r="59" spans="1:3" x14ac:dyDescent="0.25">
      <c r="A59" s="53"/>
      <c r="B59" s="55" t="s">
        <v>211</v>
      </c>
      <c r="C59" s="62">
        <f>C53+C57</f>
        <v>4819397.9699999951</v>
      </c>
    </row>
    <row r="61" spans="1:3" x14ac:dyDescent="0.25">
      <c r="A61" s="7" t="s">
        <v>216</v>
      </c>
    </row>
    <row r="62" spans="1:3" x14ac:dyDescent="0.25">
      <c r="A62" s="7" t="s">
        <v>202</v>
      </c>
    </row>
    <row r="64" spans="1:3" x14ac:dyDescent="0.25">
      <c r="A64" s="51" t="s">
        <v>203</v>
      </c>
      <c r="B64" s="51" t="s">
        <v>204</v>
      </c>
      <c r="C64" s="51" t="s">
        <v>205</v>
      </c>
    </row>
    <row r="65" spans="1:3" x14ac:dyDescent="0.25">
      <c r="A65" s="52" t="s">
        <v>212</v>
      </c>
      <c r="B65" s="53" t="s">
        <v>206</v>
      </c>
      <c r="C65" s="56">
        <f>'4.1 Comptes 2020 natures'!BI5+'4.1 Comptes 2020 natures'!BI15+'4.1 Comptes 2020 natures'!BI27+'4.1 Comptes 2020 natures'!BI39+'4.1 Comptes 2020 natures'!BI43+'4.1 Comptes 2020 natures'!BI53</f>
        <v>115193958.59999999</v>
      </c>
    </row>
    <row r="66" spans="1:3" x14ac:dyDescent="0.25">
      <c r="A66" s="52" t="s">
        <v>213</v>
      </c>
      <c r="B66" s="53" t="s">
        <v>207</v>
      </c>
      <c r="C66" s="56">
        <f>'4.1 Comptes 2020 natures'!BI76+'4.1 Comptes 2020 natures'!BI82+'4.1 Comptes 2020 natures'!BI88+'4.1 Comptes 2020 natures'!BI99+'4.1 Comptes 2020 natures'!BI117+'4.1 Comptes 2020 natures'!BI121+'4.1 Comptes 2020 natures'!BI128</f>
        <v>117919837.27999999</v>
      </c>
    </row>
    <row r="67" spans="1:3" x14ac:dyDescent="0.25">
      <c r="A67" s="53"/>
      <c r="B67" s="55" t="s">
        <v>208</v>
      </c>
      <c r="C67" s="62">
        <f>C66-C65</f>
        <v>2725878.6799999923</v>
      </c>
    </row>
    <row r="68" spans="1:3" x14ac:dyDescent="0.25">
      <c r="A68" s="53"/>
      <c r="B68" s="53"/>
      <c r="C68" s="56"/>
    </row>
    <row r="69" spans="1:3" x14ac:dyDescent="0.25">
      <c r="A69" s="53">
        <v>34</v>
      </c>
      <c r="B69" s="53" t="s">
        <v>101</v>
      </c>
      <c r="C69" s="56">
        <f>'4.1 Comptes 2020 natures'!BI31</f>
        <v>3421336.13</v>
      </c>
    </row>
    <row r="70" spans="1:3" x14ac:dyDescent="0.25">
      <c r="A70" s="53">
        <v>44</v>
      </c>
      <c r="B70" s="53" t="s">
        <v>162</v>
      </c>
      <c r="C70" s="56">
        <f>'4.1 Comptes 2020 natures'!BI105</f>
        <v>6190920.0499999998</v>
      </c>
    </row>
    <row r="71" spans="1:3" x14ac:dyDescent="0.25">
      <c r="A71" s="53"/>
      <c r="B71" s="55" t="s">
        <v>244</v>
      </c>
      <c r="C71" s="62">
        <f>C70-C69</f>
        <v>2769583.92</v>
      </c>
    </row>
    <row r="72" spans="1:3" x14ac:dyDescent="0.25">
      <c r="A72" s="53"/>
      <c r="B72" s="53"/>
      <c r="C72" s="56"/>
    </row>
    <row r="73" spans="1:3" x14ac:dyDescent="0.25">
      <c r="A73" s="53"/>
      <c r="B73" s="55" t="s">
        <v>209</v>
      </c>
      <c r="C73" s="62">
        <f>C67+C71</f>
        <v>5495462.5999999922</v>
      </c>
    </row>
    <row r="74" spans="1:3" x14ac:dyDescent="0.25">
      <c r="A74" s="53"/>
      <c r="B74" s="53"/>
      <c r="C74" s="56"/>
    </row>
    <row r="75" spans="1:3" x14ac:dyDescent="0.25">
      <c r="A75" s="53">
        <v>38</v>
      </c>
      <c r="B75" s="53" t="s">
        <v>121</v>
      </c>
      <c r="C75" s="56">
        <f>'4.1 Comptes 2020 natures'!BI56</f>
        <v>3542424.7700000005</v>
      </c>
    </row>
    <row r="76" spans="1:3" x14ac:dyDescent="0.25">
      <c r="A76" s="53">
        <v>48</v>
      </c>
      <c r="B76" s="53" t="s">
        <v>181</v>
      </c>
      <c r="C76" s="56">
        <f>'4.1 Comptes 2020 natures'!BI131</f>
        <v>664951.15</v>
      </c>
    </row>
    <row r="77" spans="1:3" x14ac:dyDescent="0.25">
      <c r="A77" s="53"/>
      <c r="B77" s="55" t="s">
        <v>210</v>
      </c>
      <c r="C77" s="62">
        <f>C76-C75</f>
        <v>-2877473.6200000006</v>
      </c>
    </row>
    <row r="78" spans="1:3" x14ac:dyDescent="0.25">
      <c r="A78" s="53"/>
      <c r="B78" s="53"/>
      <c r="C78" s="56"/>
    </row>
    <row r="79" spans="1:3" x14ac:dyDescent="0.25">
      <c r="A79" s="53"/>
      <c r="B79" s="55" t="s">
        <v>211</v>
      </c>
      <c r="C79" s="62">
        <f>C73+C77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B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F4" activePane="bottomRight" state="frozen"/>
      <selection pane="topRight" activeCell="E1" sqref="E1"/>
      <selection pane="bottomLeft" activeCell="A4" sqref="A4"/>
      <selection pane="bottomRight" activeCell="A2" sqref="A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52</v>
      </c>
    </row>
    <row r="7" spans="1:5" x14ac:dyDescent="0.25">
      <c r="E7" s="65" t="s">
        <v>205</v>
      </c>
    </row>
    <row r="8" spans="1:5" ht="21" x14ac:dyDescent="0.35">
      <c r="A8" s="92">
        <v>3</v>
      </c>
      <c r="B8" s="92"/>
      <c r="C8" s="92"/>
      <c r="D8" s="92" t="s">
        <v>60</v>
      </c>
      <c r="E8" s="172">
        <f>HLOOKUP($D$5,'4.9 Comptes 2020 par habitant'!$E$3:$BE$158,2,0)</f>
        <v>4220.6817044854879</v>
      </c>
    </row>
    <row r="9" spans="1:5" x14ac:dyDescent="0.25">
      <c r="A9" s="94"/>
      <c r="B9" s="94">
        <v>30</v>
      </c>
      <c r="C9" s="94"/>
      <c r="D9" s="94" t="s">
        <v>61</v>
      </c>
      <c r="E9" s="95">
        <f>SUM(E10:E17)</f>
        <v>408.28408970976255</v>
      </c>
    </row>
    <row r="10" spans="1:5" x14ac:dyDescent="0.25">
      <c r="C10">
        <v>300</v>
      </c>
      <c r="D10" t="s">
        <v>80</v>
      </c>
      <c r="E10" s="89">
        <f>HLOOKUP($D$5,'4.9 Comptes 2020 par habitant'!$E$3:$BE$158,4,0)</f>
        <v>78.951635883905013</v>
      </c>
    </row>
    <row r="11" spans="1:5" x14ac:dyDescent="0.25">
      <c r="C11">
        <v>301</v>
      </c>
      <c r="D11" t="s">
        <v>81</v>
      </c>
      <c r="E11" s="89">
        <f>HLOOKUP($D$5,'4.9 Comptes 2020 par habitant'!$E$3:$BE$158,5,0)</f>
        <v>320.57542480211083</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1.93844327176781</v>
      </c>
    </row>
    <row r="16" spans="1:5" x14ac:dyDescent="0.25">
      <c r="C16">
        <v>306</v>
      </c>
      <c r="D16" t="s">
        <v>85</v>
      </c>
      <c r="E16" s="89">
        <f>HLOOKUP($D$5,'4.9 Comptes 2020 par habitant'!$E$3:$BE$158,10,0)</f>
        <v>0</v>
      </c>
    </row>
    <row r="17" spans="2:5" x14ac:dyDescent="0.25">
      <c r="C17">
        <v>309</v>
      </c>
      <c r="D17" t="s">
        <v>86</v>
      </c>
      <c r="E17" s="89">
        <f>HLOOKUP($D$5,'4.9 Comptes 2020 par habitant'!$E$3:$BE$158,11,0)</f>
        <v>6.8185857519788913</v>
      </c>
    </row>
    <row r="18" spans="2:5" x14ac:dyDescent="0.25">
      <c r="E18" s="4"/>
    </row>
    <row r="19" spans="2:5" x14ac:dyDescent="0.25">
      <c r="B19" s="94">
        <v>31</v>
      </c>
      <c r="C19" s="94"/>
      <c r="D19" s="94" t="s">
        <v>87</v>
      </c>
      <c r="E19" s="95">
        <f>SUM(E20:E29)</f>
        <v>674.29119261213714</v>
      </c>
    </row>
    <row r="20" spans="2:5" x14ac:dyDescent="0.25">
      <c r="C20">
        <v>310</v>
      </c>
      <c r="D20" t="s">
        <v>88</v>
      </c>
      <c r="E20" s="89">
        <f>HLOOKUP($D$5,'4.9 Comptes 2020 par habitant'!$E$3:$BE$158,14,0)</f>
        <v>118.40589445910291</v>
      </c>
    </row>
    <row r="21" spans="2:5" x14ac:dyDescent="0.25">
      <c r="C21">
        <v>311</v>
      </c>
      <c r="D21" t="s">
        <v>462</v>
      </c>
      <c r="E21" s="89">
        <f>HLOOKUP($D$5,'4.9 Comptes 2020 par habitant'!$E$3:$BE$158,15,0)</f>
        <v>62.975350923482843</v>
      </c>
    </row>
    <row r="22" spans="2:5" x14ac:dyDescent="0.25">
      <c r="C22">
        <v>312</v>
      </c>
      <c r="D22" t="s">
        <v>90</v>
      </c>
      <c r="E22" s="89">
        <f>HLOOKUP($D$5,'4.9 Comptes 2020 par habitant'!$E$3:$BE$158,16,0)</f>
        <v>62.134300791556726</v>
      </c>
    </row>
    <row r="23" spans="2:5" x14ac:dyDescent="0.25">
      <c r="C23">
        <v>313</v>
      </c>
      <c r="D23" t="s">
        <v>91</v>
      </c>
      <c r="E23" s="89">
        <f>HLOOKUP($D$5,'4.9 Comptes 2020 par habitant'!$E$3:$BE$158,17,0)</f>
        <v>229.28155672823218</v>
      </c>
    </row>
    <row r="24" spans="2:5" x14ac:dyDescent="0.25">
      <c r="C24">
        <v>314</v>
      </c>
      <c r="D24" t="s">
        <v>92</v>
      </c>
      <c r="E24" s="89">
        <f>HLOOKUP($D$5,'4.9 Comptes 2020 par habitant'!$E$3:$BE$158,18,0)</f>
        <v>118.27736147757257</v>
      </c>
    </row>
    <row r="25" spans="2:5" x14ac:dyDescent="0.25">
      <c r="C25">
        <v>315</v>
      </c>
      <c r="D25" t="s">
        <v>93</v>
      </c>
      <c r="E25" s="89">
        <f>HLOOKUP($D$5,'4.9 Comptes 2020 par habitant'!$E$3:$BE$158,19,0)</f>
        <v>10.386596306068601</v>
      </c>
    </row>
    <row r="26" spans="2:5" x14ac:dyDescent="0.25">
      <c r="C26">
        <v>316</v>
      </c>
      <c r="D26" t="s">
        <v>94</v>
      </c>
      <c r="E26" s="89">
        <f>HLOOKUP($D$5,'4.9 Comptes 2020 par habitant'!$E$3:$BE$158,20,0)</f>
        <v>0</v>
      </c>
    </row>
    <row r="27" spans="2:5" x14ac:dyDescent="0.25">
      <c r="C27">
        <v>317</v>
      </c>
      <c r="D27" t="s">
        <v>95</v>
      </c>
      <c r="E27" s="89">
        <f>HLOOKUP($D$5,'4.9 Comptes 2020 par habitant'!$E$3:$BE$158,21,0)</f>
        <v>16.043324538258574</v>
      </c>
    </row>
    <row r="28" spans="2:5" x14ac:dyDescent="0.25">
      <c r="C28">
        <v>318</v>
      </c>
      <c r="D28" t="s">
        <v>96</v>
      </c>
      <c r="E28" s="89">
        <f>HLOOKUP($D$5,'4.9 Comptes 2020 par habitant'!$E$3:$BE$158,22,0)</f>
        <v>56.786807387862794</v>
      </c>
    </row>
    <row r="29" spans="2:5" x14ac:dyDescent="0.25">
      <c r="C29">
        <v>319</v>
      </c>
      <c r="D29" t="s">
        <v>97</v>
      </c>
      <c r="E29" s="89">
        <f>HLOOKUP($D$5,'4.9 Comptes 2020 par habitant'!$E$3:$BE$158,23,0)</f>
        <v>0</v>
      </c>
    </row>
    <row r="30" spans="2:5" x14ac:dyDescent="0.25">
      <c r="E30" s="4"/>
    </row>
    <row r="31" spans="2:5" x14ac:dyDescent="0.25">
      <c r="B31" s="94">
        <v>33</v>
      </c>
      <c r="C31" s="94"/>
      <c r="D31" s="94" t="s">
        <v>98</v>
      </c>
      <c r="E31" s="95">
        <f>SUM(E32:E33)</f>
        <v>222.46121372031664</v>
      </c>
    </row>
    <row r="32" spans="2:5" x14ac:dyDescent="0.25">
      <c r="C32">
        <v>330</v>
      </c>
      <c r="D32" t="s">
        <v>100</v>
      </c>
      <c r="E32" s="89">
        <f>HLOOKUP($D$5,'4.9 Comptes 2020 par habitant'!$E$3:$BE$158,26,0)</f>
        <v>222.46121372031664</v>
      </c>
    </row>
    <row r="33" spans="2:5" x14ac:dyDescent="0.25">
      <c r="C33">
        <v>332</v>
      </c>
      <c r="D33" t="s">
        <v>99</v>
      </c>
      <c r="E33" s="89">
        <f>HLOOKUP($D$5,'4.9 Comptes 2020 par habitant'!$E$3:$BE$158,27,0)</f>
        <v>0</v>
      </c>
    </row>
    <row r="34" spans="2:5" x14ac:dyDescent="0.25">
      <c r="E34" s="4"/>
    </row>
    <row r="35" spans="2:5" x14ac:dyDescent="0.25">
      <c r="B35" s="94">
        <v>34</v>
      </c>
      <c r="C35" s="94"/>
      <c r="D35" s="94" t="s">
        <v>101</v>
      </c>
      <c r="E35" s="95">
        <f>SUM(E36:E41)</f>
        <v>127.52673878627968</v>
      </c>
    </row>
    <row r="36" spans="2:5" x14ac:dyDescent="0.25">
      <c r="C36">
        <v>340</v>
      </c>
      <c r="D36" t="s">
        <v>102</v>
      </c>
      <c r="E36" s="89">
        <f>HLOOKUP($D$5,'4.9 Comptes 2020 par habitant'!$E$3:$BE$158,30,0)</f>
        <v>75.5395092348285</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51.987229551451186</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60.476321899736149</v>
      </c>
    </row>
    <row r="44" spans="2:5" x14ac:dyDescent="0.25">
      <c r="C44">
        <v>350</v>
      </c>
      <c r="D44" t="s">
        <v>109</v>
      </c>
      <c r="E44" s="89">
        <f>HLOOKUP($D$5,'4.9 Comptes 2020 par habitant'!$E$3:$BE$158,38,0)</f>
        <v>0</v>
      </c>
    </row>
    <row r="45" spans="2:5" x14ac:dyDescent="0.25">
      <c r="C45">
        <v>351</v>
      </c>
      <c r="D45" t="s">
        <v>108</v>
      </c>
      <c r="E45" s="89">
        <f>HLOOKUP($D$5,'4.9 Comptes 2020 par habitant'!$E$3:$BE$158,39,0)</f>
        <v>60.476321899736149</v>
      </c>
    </row>
    <row r="46" spans="2:5" x14ac:dyDescent="0.25">
      <c r="E46" s="4"/>
    </row>
    <row r="47" spans="2:5" x14ac:dyDescent="0.25">
      <c r="B47" s="94">
        <v>36</v>
      </c>
      <c r="C47" s="94"/>
      <c r="D47" s="94" t="s">
        <v>110</v>
      </c>
      <c r="E47" s="95">
        <f>SUM(E48:E55)</f>
        <v>2523.802786279683</v>
      </c>
    </row>
    <row r="48" spans="2:5" x14ac:dyDescent="0.25">
      <c r="C48">
        <v>360</v>
      </c>
      <c r="D48" t="s">
        <v>111</v>
      </c>
      <c r="E48" s="89">
        <f>HLOOKUP($D$5,'4.9 Comptes 2020 par habitant'!$E$3:$BE$158,42,0)</f>
        <v>2.7254881266490765</v>
      </c>
    </row>
    <row r="49" spans="2:5" x14ac:dyDescent="0.25">
      <c r="C49">
        <v>361</v>
      </c>
      <c r="D49" t="s">
        <v>112</v>
      </c>
      <c r="E49" s="89">
        <f>HLOOKUP($D$5,'4.9 Comptes 2020 par habitant'!$E$3:$BE$158,43,0)</f>
        <v>1992.4579419525064</v>
      </c>
    </row>
    <row r="50" spans="2:5" x14ac:dyDescent="0.25">
      <c r="C50">
        <v>362</v>
      </c>
      <c r="D50" t="s">
        <v>113</v>
      </c>
      <c r="E50" s="89">
        <f>HLOOKUP($D$5,'4.9 Comptes 2020 par habitant'!$E$3:$BE$158,44,0)</f>
        <v>0</v>
      </c>
    </row>
    <row r="51" spans="2:5" x14ac:dyDescent="0.25">
      <c r="C51">
        <v>363</v>
      </c>
      <c r="D51" t="s">
        <v>114</v>
      </c>
      <c r="E51" s="89">
        <f>HLOOKUP($D$5,'4.9 Comptes 2020 par habitant'!$E$3:$BE$158,45,0)</f>
        <v>528.6193562005277</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0</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126.64907651715039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126.64907651715039</v>
      </c>
    </row>
    <row r="67" spans="1:5" x14ac:dyDescent="0.25">
      <c r="E67" s="4"/>
    </row>
    <row r="68" spans="1:5" x14ac:dyDescent="0.25">
      <c r="B68" s="94">
        <v>39</v>
      </c>
      <c r="C68" s="94"/>
      <c r="D68" s="94" t="s">
        <v>128</v>
      </c>
      <c r="E68" s="95">
        <f>SUM(E69:E76)</f>
        <v>77.190284960422161</v>
      </c>
    </row>
    <row r="69" spans="1:5" x14ac:dyDescent="0.25">
      <c r="C69">
        <v>390</v>
      </c>
      <c r="D69" t="s">
        <v>129</v>
      </c>
      <c r="E69" s="89">
        <f>HLOOKUP($D$5,'4.9 Comptes 2020 par habitant'!$E$3:$BE$158,63,0)</f>
        <v>0</v>
      </c>
    </row>
    <row r="70" spans="1:5" x14ac:dyDescent="0.25">
      <c r="C70">
        <v>391</v>
      </c>
      <c r="D70" t="s">
        <v>130</v>
      </c>
      <c r="E70" s="89">
        <f>HLOOKUP($D$5,'4.9 Comptes 2020 par habitant'!$E$3:$BE$158,64,0)</f>
        <v>77.190284960422161</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4301.8004379947233</v>
      </c>
    </row>
    <row r="80" spans="1:5" x14ac:dyDescent="0.25">
      <c r="A80" s="7"/>
      <c r="B80" s="96">
        <v>40</v>
      </c>
      <c r="C80" s="96"/>
      <c r="D80" s="96" t="s">
        <v>79</v>
      </c>
      <c r="E80" s="91">
        <f>SUM(E81:E84)</f>
        <v>2872.5028496042219</v>
      </c>
    </row>
    <row r="81" spans="2:5" x14ac:dyDescent="0.25">
      <c r="C81">
        <v>400</v>
      </c>
      <c r="D81" t="s">
        <v>138</v>
      </c>
      <c r="E81" s="89">
        <f>HLOOKUP($D$5,'4.9 Comptes 2020 par habitant'!$E$3:$BE$158,75,0)</f>
        <v>2270.2080738786281</v>
      </c>
    </row>
    <row r="82" spans="2:5" x14ac:dyDescent="0.25">
      <c r="C82">
        <v>401</v>
      </c>
      <c r="D82" t="s">
        <v>139</v>
      </c>
      <c r="E82" s="89">
        <f>HLOOKUP($D$5,'4.9 Comptes 2020 par habitant'!$E$3:$BE$158,76,0)</f>
        <v>286.9227176781003</v>
      </c>
    </row>
    <row r="83" spans="2:5" x14ac:dyDescent="0.25">
      <c r="C83">
        <v>402</v>
      </c>
      <c r="D83" t="s">
        <v>140</v>
      </c>
      <c r="E83" s="89">
        <f>HLOOKUP($D$5,'4.9 Comptes 2020 par habitant'!$E$3:$BE$158,77,0)</f>
        <v>310.31401055408975</v>
      </c>
    </row>
    <row r="84" spans="2:5" x14ac:dyDescent="0.25">
      <c r="C84">
        <v>403</v>
      </c>
      <c r="D84" t="s">
        <v>141</v>
      </c>
      <c r="E84" s="89">
        <f>HLOOKUP($D$5,'4.9 Comptes 2020 par habitant'!$E$3:$BE$158,78,0)</f>
        <v>5.0580474934036941</v>
      </c>
    </row>
    <row r="85" spans="2:5" x14ac:dyDescent="0.25">
      <c r="E85" s="4"/>
    </row>
    <row r="86" spans="2:5" x14ac:dyDescent="0.25">
      <c r="B86" s="96">
        <v>41</v>
      </c>
      <c r="C86" s="96"/>
      <c r="D86" s="96" t="s">
        <v>142</v>
      </c>
      <c r="E86" s="91">
        <f>SUM(E87:E90)</f>
        <v>40.08945646437995</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40.08945646437995</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657.97604749340371</v>
      </c>
    </row>
    <row r="93" spans="2:5" x14ac:dyDescent="0.25">
      <c r="C93">
        <v>420</v>
      </c>
      <c r="D93" t="s">
        <v>148</v>
      </c>
      <c r="E93" s="89">
        <f>HLOOKUP($D$5,'4.9 Comptes 2020 par habitant'!$E$3:$BE$158,87,0)</f>
        <v>38.374010554089708</v>
      </c>
    </row>
    <row r="94" spans="2:5" x14ac:dyDescent="0.25">
      <c r="C94">
        <v>421</v>
      </c>
      <c r="D94" t="s">
        <v>149</v>
      </c>
      <c r="E94" s="89">
        <f>HLOOKUP($D$5,'4.9 Comptes 2020 par habitant'!$E$3:$BE$158,88,0)</f>
        <v>29.809736147757253</v>
      </c>
    </row>
    <row r="95" spans="2:5" x14ac:dyDescent="0.25">
      <c r="C95">
        <v>422</v>
      </c>
      <c r="D95" t="s">
        <v>150</v>
      </c>
      <c r="E95" s="89">
        <f>HLOOKUP($D$5,'4.9 Comptes 2020 par habitant'!$E$3:$BE$158,89,0)</f>
        <v>0</v>
      </c>
    </row>
    <row r="96" spans="2:5" x14ac:dyDescent="0.25">
      <c r="C96">
        <v>423</v>
      </c>
      <c r="D96" t="s">
        <v>151</v>
      </c>
      <c r="E96" s="89">
        <f>HLOOKUP($D$5,'4.9 Comptes 2020 par habitant'!$E$3:$BE$158,90,0)</f>
        <v>0</v>
      </c>
    </row>
    <row r="97" spans="2:5" x14ac:dyDescent="0.25">
      <c r="C97">
        <v>424</v>
      </c>
      <c r="D97" t="s">
        <v>152</v>
      </c>
      <c r="E97" s="89">
        <f>HLOOKUP($D$5,'4.9 Comptes 2020 par habitant'!$E$3:$BE$158,91,0)</f>
        <v>489.79973614775724</v>
      </c>
    </row>
    <row r="98" spans="2:5" x14ac:dyDescent="0.25">
      <c r="C98">
        <v>425</v>
      </c>
      <c r="D98" t="s">
        <v>153</v>
      </c>
      <c r="E98" s="89">
        <f>HLOOKUP($D$5,'4.9 Comptes 2020 par habitant'!$E$3:$BE$158,92,0)</f>
        <v>82.074358839050134</v>
      </c>
    </row>
    <row r="99" spans="2:5" x14ac:dyDescent="0.25">
      <c r="C99">
        <v>426</v>
      </c>
      <c r="D99" t="s">
        <v>154</v>
      </c>
      <c r="E99" s="89">
        <f>HLOOKUP($D$5,'4.9 Comptes 2020 par habitant'!$E$3:$BE$158,93,0)</f>
        <v>17.918205804749341</v>
      </c>
    </row>
    <row r="100" spans="2:5" x14ac:dyDescent="0.25">
      <c r="C100">
        <v>427</v>
      </c>
      <c r="D100" t="s">
        <v>155</v>
      </c>
      <c r="E100" s="89">
        <f>HLOOKUP($D$5,'4.9 Comptes 2020 par habitant'!$E$3:$BE$158,94,0)</f>
        <v>0</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46.209625329815303</v>
      </c>
    </row>
    <row r="104" spans="2:5" x14ac:dyDescent="0.25">
      <c r="C104">
        <v>430</v>
      </c>
      <c r="D104" t="s">
        <v>158</v>
      </c>
      <c r="E104" s="89">
        <f>HLOOKUP($D$5,'4.9 Comptes 2020 par habitant'!$E$3:$BE$158,98,0)</f>
        <v>46.209625329815303</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65.791350923482838</v>
      </c>
    </row>
    <row r="110" spans="2:5" x14ac:dyDescent="0.25">
      <c r="C110">
        <v>440</v>
      </c>
      <c r="D110" t="s">
        <v>163</v>
      </c>
      <c r="E110" s="89">
        <f>HLOOKUP($D$5,'4.9 Comptes 2020 par habitant'!$E$3:$BE$158,104,0)</f>
        <v>55.853699208443267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0</v>
      </c>
    </row>
    <row r="113" spans="2:5" x14ac:dyDescent="0.25">
      <c r="C113">
        <v>443</v>
      </c>
      <c r="D113" t="s">
        <v>166</v>
      </c>
      <c r="E113" s="89">
        <f>HLOOKUP($D$5,'4.9 Comptes 2020 par habitant'!$E$3:$BE$158,107,0)</f>
        <v>0</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9.9376517150395767</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10.267915567282321</v>
      </c>
    </row>
    <row r="122" spans="2:5" x14ac:dyDescent="0.25">
      <c r="C122">
        <v>450</v>
      </c>
      <c r="D122" t="s">
        <v>172</v>
      </c>
      <c r="E122" s="89">
        <f>HLOOKUP($D$5,'4.9 Comptes 2020 par habitant'!$E$3:$BE$158,116,0)</f>
        <v>9.7402110817941949</v>
      </c>
    </row>
    <row r="123" spans="2:5" x14ac:dyDescent="0.25">
      <c r="C123">
        <v>451</v>
      </c>
      <c r="D123" t="s">
        <v>173</v>
      </c>
      <c r="E123" s="89">
        <f>HLOOKUP($D$5,'4.9 Comptes 2020 par habitant'!$E$3:$BE$158,117,0)</f>
        <v>0.52770448548812665</v>
      </c>
    </row>
    <row r="124" spans="2:5" x14ac:dyDescent="0.25">
      <c r="E124" s="4"/>
    </row>
    <row r="125" spans="2:5" x14ac:dyDescent="0.25">
      <c r="B125" s="96">
        <v>46</v>
      </c>
      <c r="C125" s="96"/>
      <c r="D125" s="96" t="s">
        <v>175</v>
      </c>
      <c r="E125" s="91">
        <f>SUM(E126:E130)</f>
        <v>600.3352242744063</v>
      </c>
    </row>
    <row r="126" spans="2:5" x14ac:dyDescent="0.25">
      <c r="C126">
        <v>460</v>
      </c>
      <c r="D126" t="s">
        <v>176</v>
      </c>
      <c r="E126" s="89">
        <f>HLOOKUP($D$5,'4.9 Comptes 2020 par habitant'!$E$3:$BE$158,120,0)</f>
        <v>0</v>
      </c>
    </row>
    <row r="127" spans="2:5" x14ac:dyDescent="0.25">
      <c r="C127">
        <v>461</v>
      </c>
      <c r="D127" t="s">
        <v>177</v>
      </c>
      <c r="E127" s="89">
        <f>HLOOKUP($D$5,'4.9 Comptes 2020 par habitant'!$E$3:$BE$158,121,0)</f>
        <v>412.22786279683379</v>
      </c>
    </row>
    <row r="128" spans="2:5" x14ac:dyDescent="0.25">
      <c r="C128">
        <v>462</v>
      </c>
      <c r="D128" t="s">
        <v>113</v>
      </c>
      <c r="E128" s="89">
        <f>HLOOKUP($D$5,'4.9 Comptes 2020 par habitant'!$E$3:$BE$158,122,0)</f>
        <v>115.1514511873351</v>
      </c>
    </row>
    <row r="129" spans="2:5" x14ac:dyDescent="0.25">
      <c r="C129">
        <v>463</v>
      </c>
      <c r="D129" t="s">
        <v>178</v>
      </c>
      <c r="E129" s="89">
        <f>HLOOKUP($D$5,'4.9 Comptes 2020 par habitant'!$E$3:$BE$158,123,0)</f>
        <v>71.999261213720317</v>
      </c>
    </row>
    <row r="130" spans="2:5" x14ac:dyDescent="0.25">
      <c r="C130">
        <v>469</v>
      </c>
      <c r="D130" t="s">
        <v>179</v>
      </c>
      <c r="E130" s="89">
        <f>HLOOKUP($D$5,'4.9 Comptes 2020 par habitant'!$E$3:$BE$158,124,0)</f>
        <v>0.95664907651715037</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8.62796833773087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8.62796833773087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81.118733509234829</v>
      </c>
    </row>
    <row r="158" spans="1:5" x14ac:dyDescent="0.25">
      <c r="C158">
        <v>900</v>
      </c>
      <c r="D158" t="s">
        <v>196</v>
      </c>
      <c r="E158" s="89">
        <f>HLOOKUP($D$5,'4.9 Comptes 2020 par habitant'!$E$3:$BE$158,152,0)</f>
        <v>48.928759894459105</v>
      </c>
    </row>
    <row r="159" spans="1:5" x14ac:dyDescent="0.25">
      <c r="C159">
        <v>901</v>
      </c>
      <c r="D159" t="s">
        <v>197</v>
      </c>
      <c r="E159" s="89">
        <f>HLOOKUP($D$5,'4.9 Comptes 2020 par habitant'!$E$3:$BE$158,153,0)</f>
        <v>32.189973614775724</v>
      </c>
    </row>
    <row r="160" spans="1:5" x14ac:dyDescent="0.25">
      <c r="E160" s="4"/>
    </row>
    <row r="161" spans="4:5" x14ac:dyDescent="0.25">
      <c r="D161" s="7" t="s">
        <v>198</v>
      </c>
      <c r="E161" s="80">
        <f>HLOOKUP($D$5,'4.9 Comptes 2020 par habitant'!$E$3:$BE$158,155,0)</f>
        <v>81.118733509234829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2022-06-13T11:56:46Z</dcterms:modified>
</cp:coreProperties>
</file>