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23" activeTab="23"/>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1 Bilan" sheetId="24" state="hidden" r:id="rId20"/>
    <sheet name="5.3 Bilan par commune" sheetId="51" state="hidden" r:id="rId21"/>
    <sheet name="5.2 Tableau bilan" sheetId="31" state="hidden" r:id="rId22"/>
    <sheet name="5.1.1Graphique capitaux propres" sheetId="83" state="hidden" r:id="rId23"/>
    <sheet name="5.4 Tableau de l'endettement" sheetId="32" r:id="rId24"/>
    <sheet name="5.4.1Graphique de l'endettement" sheetId="82" state="hidden" r:id="rId25"/>
    <sheet name="5.5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<sst xmlns="http://schemas.openxmlformats.org/spreadsheetml/2006/main" count="5598" uniqueCount="822">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</sst>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'5.1.1Graphique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'5.1.1Graphique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HLOOKUP($E$4,'5.1 Bilan'!$F$3:$BF$226,2,0)</f>
        <v>6103718.5500000007</v>
      </c>
    </row>
    <row r="8" spans="1:6" x14ac:dyDescent="0.25">
      <c r="A8" s="78"/>
      <c r="B8" s="74">
        <v>10</v>
      </c>
      <c r="C8" s="74"/>
      <c r="D8" s="74"/>
      <c r="E8" s="74" t="s">
        <v>247</v>
      </c>
      <c r="F8" s="75">
        <f>HLOOKUP($E$4,'5.1 Bilan'!$F$3:$BF$226,3,0)</f>
        <v>2569790.9000000004</v>
      </c>
    </row>
    <row r="9" spans="1:6" x14ac:dyDescent="0.25">
      <c r="A9" s="79"/>
      <c r="B9" s="79"/>
      <c r="C9" s="69">
        <v>100</v>
      </c>
      <c r="D9" s="69"/>
      <c r="E9" s="69" t="s">
        <v>248</v>
      </c>
      <c r="F9" s="177">
        <f>SUM(F10:F15)</f>
        <v>1011017.67</v>
      </c>
    </row>
    <row r="10" spans="1:6" x14ac:dyDescent="0.25">
      <c r="D10">
        <v>1000</v>
      </c>
      <c r="E10" t="s">
        <v>322</v>
      </c>
      <c r="F10" s="4">
        <f>HLOOKUP($E$4,'5.1 Bilan'!$F$3:$BF$226,5,0)</f>
        <v>1698.15</v>
      </c>
    </row>
    <row r="11" spans="1:6" x14ac:dyDescent="0.25">
      <c r="D11">
        <v>1001</v>
      </c>
      <c r="E11" t="s">
        <v>323</v>
      </c>
      <c r="F11" s="4">
        <f>HLOOKUP($E$4,'5.1 Bilan'!$F$3:$BF$226,6,0)</f>
        <v>74871.34</v>
      </c>
    </row>
    <row r="12" spans="1:6" x14ac:dyDescent="0.25">
      <c r="D12">
        <v>1002</v>
      </c>
      <c r="E12" t="s">
        <v>331</v>
      </c>
      <c r="F12" s="4">
        <f>HLOOKUP($E$4,'5.1 Bilan'!$F$3:$BF$226,7,0)</f>
        <v>934448.18</v>
      </c>
    </row>
    <row r="13" spans="1:6" x14ac:dyDescent="0.25">
      <c r="D13">
        <v>1003</v>
      </c>
      <c r="E13" t="s">
        <v>324</v>
      </c>
      <c r="F13" s="4">
        <f>HLOOKUP($E$4,'5.1 Bilan'!$F$3:$BF$226,8,0)</f>
        <v>0</v>
      </c>
    </row>
    <row r="14" spans="1:6" x14ac:dyDescent="0.25">
      <c r="D14">
        <v>1004</v>
      </c>
      <c r="E14" t="s">
        <v>325</v>
      </c>
      <c r="F14" s="4">
        <f>HLOOKUP($E$4,'5.1 Bilan'!$F$3:$BF$226,9,0)</f>
        <v>0</v>
      </c>
    </row>
    <row r="15" spans="1:6" x14ac:dyDescent="0.25">
      <c r="D15">
        <v>1009</v>
      </c>
      <c r="E15" t="s">
        <v>326</v>
      </c>
      <c r="F15" s="4">
        <f>HLOOKUP($E$4,'5.1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HLOOKUP($E$4,'5.1 Bilan'!$F$3:$BF$226,13,0)</f>
        <v>62083.64</v>
      </c>
    </row>
    <row r="19" spans="1:6" x14ac:dyDescent="0.25">
      <c r="D19">
        <v>1011</v>
      </c>
      <c r="E19" t="s">
        <v>408</v>
      </c>
      <c r="F19" s="4">
        <f>HLOOKUP($E$4,'5.1 Bilan'!$F$3:$BF$226,14,0)</f>
        <v>0</v>
      </c>
    </row>
    <row r="20" spans="1:6" x14ac:dyDescent="0.25">
      <c r="D20">
        <v>1012</v>
      </c>
      <c r="E20" t="s">
        <v>328</v>
      </c>
      <c r="F20" s="4">
        <f>HLOOKUP($E$4,'5.1 Bilan'!$F$3:$BF$226,15,0)</f>
        <v>408257.56</v>
      </c>
    </row>
    <row r="21" spans="1:6" x14ac:dyDescent="0.25">
      <c r="D21">
        <v>1013</v>
      </c>
      <c r="E21" t="s">
        <v>329</v>
      </c>
      <c r="F21" s="4">
        <f>HLOOKUP($E$4,'5.1 Bilan'!$F$3:$BF$226,16,0)</f>
        <v>0</v>
      </c>
    </row>
    <row r="22" spans="1:6" x14ac:dyDescent="0.25">
      <c r="D22">
        <v>1014</v>
      </c>
      <c r="E22" t="s">
        <v>330</v>
      </c>
      <c r="F22" s="4">
        <f>HLOOKUP($E$4,'5.1 Bilan'!$F$3:$BF$226,17,0)</f>
        <v>0</v>
      </c>
    </row>
    <row r="23" spans="1:6" x14ac:dyDescent="0.25">
      <c r="D23">
        <v>1015</v>
      </c>
      <c r="E23" t="s">
        <v>332</v>
      </c>
      <c r="F23" s="4">
        <f>HLOOKUP($E$4,'5.1 Bilan'!$F$3:$BF$226,18,0)</f>
        <v>0</v>
      </c>
    </row>
    <row r="24" spans="1:6" x14ac:dyDescent="0.25">
      <c r="D24">
        <v>1016</v>
      </c>
      <c r="E24" t="s">
        <v>333</v>
      </c>
      <c r="F24" s="4">
        <f>HLOOKUP($E$4,'5.1 Bilan'!$F$3:$BF$226,19,0)</f>
        <v>0</v>
      </c>
    </row>
    <row r="25" spans="1:6" x14ac:dyDescent="0.25">
      <c r="D25">
        <v>1019</v>
      </c>
      <c r="E25" t="s">
        <v>334</v>
      </c>
      <c r="F25" s="4">
        <f>HLOOKUP($E$4,'5.1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HLOOKUP($E$4,'5.1 Bilan'!$F$3:$BF$226,23,0)</f>
        <v>0</v>
      </c>
    </row>
    <row r="29" spans="1:6" x14ac:dyDescent="0.25">
      <c r="D29">
        <v>1022</v>
      </c>
      <c r="E29" t="s">
        <v>336</v>
      </c>
      <c r="F29" s="4">
        <f>HLOOKUP($E$4,'5.1 Bilan'!$F$3:$BF$226,24,0)</f>
        <v>0</v>
      </c>
    </row>
    <row r="30" spans="1:6" x14ac:dyDescent="0.25">
      <c r="D30">
        <v>1023</v>
      </c>
      <c r="E30" t="s">
        <v>337</v>
      </c>
      <c r="F30" s="4">
        <f>HLOOKUP($E$4,'5.1 Bilan'!$F$3:$BF$226,25,0)</f>
        <v>0</v>
      </c>
    </row>
    <row r="31" spans="1:6" x14ac:dyDescent="0.25">
      <c r="D31">
        <v>1029</v>
      </c>
      <c r="E31" t="s">
        <v>338</v>
      </c>
      <c r="F31" s="4">
        <f>HLOOKUP($E$4,'5.1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HLOOKUP($E$4,'5.1 Bilan'!$F$3:$BF$226,29,0)</f>
        <v>0</v>
      </c>
    </row>
    <row r="35" spans="3:6" x14ac:dyDescent="0.25">
      <c r="D35">
        <v>1041</v>
      </c>
      <c r="E35" t="s">
        <v>339</v>
      </c>
      <c r="F35" s="4">
        <f>HLOOKUP($E$4,'5.1 Bilan'!$F$3:$BF$226,30,0)</f>
        <v>123455.05</v>
      </c>
    </row>
    <row r="36" spans="3:6" x14ac:dyDescent="0.25">
      <c r="D36">
        <v>1042</v>
      </c>
      <c r="E36" t="s">
        <v>340</v>
      </c>
      <c r="F36" s="4">
        <f>HLOOKUP($E$4,'5.1 Bilan'!$F$3:$BF$226,31,0)</f>
        <v>0</v>
      </c>
    </row>
    <row r="37" spans="3:6" x14ac:dyDescent="0.25">
      <c r="D37">
        <v>1043</v>
      </c>
      <c r="E37" t="s">
        <v>341</v>
      </c>
      <c r="F37" s="4">
        <f>HLOOKUP($E$4,'5.1 Bilan'!$F$3:$BF$226,32,0)</f>
        <v>69637.98</v>
      </c>
    </row>
    <row r="38" spans="3:6" x14ac:dyDescent="0.25">
      <c r="D38">
        <v>1044</v>
      </c>
      <c r="E38" t="s">
        <v>342</v>
      </c>
      <c r="F38" s="4">
        <f>HLOOKUP($E$4,'5.1 Bilan'!$F$3:$BF$226,33,0)</f>
        <v>0</v>
      </c>
    </row>
    <row r="39" spans="3:6" x14ac:dyDescent="0.25">
      <c r="D39">
        <v>1045</v>
      </c>
      <c r="E39" t="s">
        <v>343</v>
      </c>
      <c r="F39" s="4">
        <f>HLOOKUP($E$4,'5.1 Bilan'!$F$3:$BF$226,34,0)</f>
        <v>0</v>
      </c>
    </row>
    <row r="40" spans="3:6" x14ac:dyDescent="0.25">
      <c r="D40">
        <v>1046</v>
      </c>
      <c r="E40" t="s">
        <v>344</v>
      </c>
      <c r="F40" s="4">
        <f>HLOOKUP($E$4,'5.1 Bilan'!$F$3:$BF$226,35,0)</f>
        <v>0</v>
      </c>
    </row>
    <row r="41" spans="3:6" x14ac:dyDescent="0.25">
      <c r="D41">
        <v>1049</v>
      </c>
      <c r="E41" t="s">
        <v>345</v>
      </c>
      <c r="F41" s="4">
        <f>HLOOKUP($E$4,'5.1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HLOOKUP($E$4,'5.1 Bilan'!$F$3:$BF$226,39,0)</f>
        <v>0</v>
      </c>
    </row>
    <row r="45" spans="3:6" x14ac:dyDescent="0.25">
      <c r="D45">
        <v>1061</v>
      </c>
      <c r="E45" t="s">
        <v>347</v>
      </c>
      <c r="F45" s="4">
        <f>HLOOKUP($E$4,'5.1 Bilan'!$F$3:$BF$226,40,0)</f>
        <v>0</v>
      </c>
    </row>
    <row r="46" spans="3:6" x14ac:dyDescent="0.25">
      <c r="D46">
        <v>1062</v>
      </c>
      <c r="E46" t="s">
        <v>348</v>
      </c>
      <c r="F46" s="4">
        <f>HLOOKUP($E$4,'5.1 Bilan'!$F$3:$BF$226,41,0)</f>
        <v>0</v>
      </c>
    </row>
    <row r="47" spans="3:6" x14ac:dyDescent="0.25">
      <c r="D47">
        <v>1063</v>
      </c>
      <c r="E47" t="s">
        <v>349</v>
      </c>
      <c r="F47" s="4">
        <f>HLOOKUP($E$4,'5.1 Bilan'!$F$3:$BF$226,42,0)</f>
        <v>0</v>
      </c>
    </row>
    <row r="48" spans="3:6" x14ac:dyDescent="0.25">
      <c r="D48">
        <v>1068</v>
      </c>
      <c r="E48" t="s">
        <v>350</v>
      </c>
      <c r="F48" s="4">
        <f>HLOOKUP($E$4,'5.1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HLOOKUP($E$4,'5.1 Bilan'!$F$3:$BF$226,46,0)</f>
        <v>4</v>
      </c>
    </row>
    <row r="52" spans="3:6" x14ac:dyDescent="0.25">
      <c r="D52">
        <v>1071</v>
      </c>
      <c r="E52" t="s">
        <v>352</v>
      </c>
      <c r="F52" s="4">
        <f>HLOOKUP($E$4,'5.1 Bilan'!$F$3:$BF$226,47,0)</f>
        <v>0</v>
      </c>
    </row>
    <row r="53" spans="3:6" x14ac:dyDescent="0.25">
      <c r="D53">
        <v>1072</v>
      </c>
      <c r="E53" t="s">
        <v>353</v>
      </c>
      <c r="F53" s="4">
        <f>HLOOKUP($E$4,'5.1 Bilan'!$F$3:$BF$226,48,0)</f>
        <v>0</v>
      </c>
    </row>
    <row r="54" spans="3:6" x14ac:dyDescent="0.25">
      <c r="D54">
        <v>1079</v>
      </c>
      <c r="E54" t="s">
        <v>354</v>
      </c>
      <c r="F54" s="4">
        <f>HLOOKUP($E$4,'5.1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HLOOKUP($E$4,'5.1 Bilan'!$F$3:$BF$226,52,0)</f>
        <v>185335</v>
      </c>
    </row>
    <row r="58" spans="3:6" x14ac:dyDescent="0.25">
      <c r="D58">
        <v>1084</v>
      </c>
      <c r="E58" t="s">
        <v>357</v>
      </c>
      <c r="F58" s="4">
        <f>HLOOKUP($E$4,'5.1 Bilan'!$F$3:$BF$226,53,0)</f>
        <v>710000</v>
      </c>
    </row>
    <row r="59" spans="3:6" x14ac:dyDescent="0.25">
      <c r="D59">
        <v>1086</v>
      </c>
      <c r="E59" t="s">
        <v>358</v>
      </c>
      <c r="F59" s="4">
        <f>HLOOKUP($E$4,'5.1 Bilan'!$F$3:$BF$226,54,0)</f>
        <v>0</v>
      </c>
    </row>
    <row r="60" spans="3:6" x14ac:dyDescent="0.25">
      <c r="D60">
        <v>1087</v>
      </c>
      <c r="E60" t="s">
        <v>359</v>
      </c>
      <c r="F60" s="4">
        <f>HLOOKUP($E$4,'5.1 Bilan'!$F$3:$BF$226,55,0)</f>
        <v>0</v>
      </c>
    </row>
    <row r="61" spans="3:6" x14ac:dyDescent="0.25">
      <c r="D61">
        <v>1088</v>
      </c>
      <c r="E61" t="s">
        <v>360</v>
      </c>
      <c r="F61" s="4">
        <f>HLOOKUP($E$4,'5.1 Bilan'!$F$3:$BF$226,56,0)</f>
        <v>0</v>
      </c>
    </row>
    <row r="62" spans="3:6" x14ac:dyDescent="0.25">
      <c r="D62">
        <v>1089</v>
      </c>
      <c r="E62" t="s">
        <v>361</v>
      </c>
      <c r="F62" s="4">
        <f>HLOOKUP($E$4,'5.1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HLOOKUP($E$4,'5.1 Bilan'!$F$3:$BF$226,60,0)</f>
        <v>0</v>
      </c>
    </row>
    <row r="66" spans="2:6" x14ac:dyDescent="0.25">
      <c r="D66">
        <v>1091</v>
      </c>
      <c r="E66" t="s">
        <v>363</v>
      </c>
      <c r="F66" s="4">
        <f>HLOOKUP($E$4,'5.1 Bilan'!$F$3:$BF$226,61,0)</f>
        <v>0</v>
      </c>
    </row>
    <row r="67" spans="2:6" x14ac:dyDescent="0.25">
      <c r="D67">
        <v>1092</v>
      </c>
      <c r="E67" t="s">
        <v>364</v>
      </c>
      <c r="F67" s="4">
        <f>HLOOKUP($E$4,'5.1 Bilan'!$F$3:$BF$226,62,0)</f>
        <v>0</v>
      </c>
    </row>
    <row r="68" spans="2:6" x14ac:dyDescent="0.25">
      <c r="D68">
        <v>1093</v>
      </c>
      <c r="E68" t="s">
        <v>365</v>
      </c>
      <c r="F68" s="4">
        <f>HLOOKUP($E$4,'5.1 Bilan'!$F$3:$BF$226,63,0)</f>
        <v>0</v>
      </c>
    </row>
    <row r="69" spans="2:6" x14ac:dyDescent="0.25">
      <c r="F69" s="4"/>
    </row>
    <row r="70" spans="2:6" x14ac:dyDescent="0.25">
      <c r="B70" s="76">
        <v>14</v>
      </c>
      <c r="C70" s="76"/>
      <c r="D70" s="76"/>
      <c r="E70" s="76" t="s">
        <v>254</v>
      </c>
      <c r="F70" s="77">
        <f>HLOOKUP($E$4,'5.1 Bilan'!$F$3:$BF$226,65,0)</f>
        <v>3533927.65</v>
      </c>
    </row>
    <row r="71" spans="2:6" x14ac:dyDescent="0.25">
      <c r="C71" s="69">
        <v>140</v>
      </c>
      <c r="D71" s="69"/>
      <c r="E71" s="69" t="s">
        <v>256</v>
      </c>
      <c r="F71" s="70">
        <f>SUM(F72:F80)</f>
        <v>3510208</v>
      </c>
    </row>
    <row r="72" spans="2:6" x14ac:dyDescent="0.25">
      <c r="D72">
        <v>1400</v>
      </c>
      <c r="E72" t="s">
        <v>366</v>
      </c>
      <c r="F72" s="4">
        <f>HLOOKUP($E$4,'5.1 Bilan'!$F$3:$BF$226,67,0)</f>
        <v>163195</v>
      </c>
    </row>
    <row r="73" spans="2:6" x14ac:dyDescent="0.25">
      <c r="D73">
        <v>1401</v>
      </c>
      <c r="E73" t="s">
        <v>367</v>
      </c>
      <c r="F73" s="4">
        <f>HLOOKUP($E$4,'5.1 Bilan'!$F$3:$BF$226,68,0)</f>
        <v>702000</v>
      </c>
    </row>
    <row r="74" spans="2:6" x14ac:dyDescent="0.25">
      <c r="D74">
        <v>1402</v>
      </c>
      <c r="E74" t="s">
        <v>368</v>
      </c>
      <c r="F74" s="4">
        <f>HLOOKUP($E$4,'5.1 Bilan'!$F$3:$BF$226,69,0)</f>
        <v>0</v>
      </c>
    </row>
    <row r="75" spans="2:6" x14ac:dyDescent="0.25">
      <c r="D75">
        <v>1403</v>
      </c>
      <c r="E75" t="s">
        <v>369</v>
      </c>
      <c r="F75" s="4">
        <f>HLOOKUP($E$4,'5.1 Bilan'!$F$3:$BF$226,70,0)</f>
        <v>254000</v>
      </c>
    </row>
    <row r="76" spans="2:6" x14ac:dyDescent="0.25">
      <c r="D76">
        <v>1404</v>
      </c>
      <c r="E76" t="s">
        <v>370</v>
      </c>
      <c r="F76" s="4">
        <f>HLOOKUP($E$4,'5.1 Bilan'!$F$3:$BF$226,71,0)</f>
        <v>1180000</v>
      </c>
    </row>
    <row r="77" spans="2:6" x14ac:dyDescent="0.25">
      <c r="D77">
        <v>1405</v>
      </c>
      <c r="E77" t="s">
        <v>371</v>
      </c>
      <c r="F77" s="4">
        <f>HLOOKUP($E$4,'5.1 Bilan'!$F$3:$BF$226,72,0)</f>
        <v>1211010</v>
      </c>
    </row>
    <row r="78" spans="2:6" x14ac:dyDescent="0.25">
      <c r="D78">
        <v>1406</v>
      </c>
      <c r="E78" t="s">
        <v>372</v>
      </c>
      <c r="F78" s="4">
        <f>HLOOKUP($E$4,'5.1 Bilan'!$F$3:$BF$226,73,0)</f>
        <v>3</v>
      </c>
    </row>
    <row r="79" spans="2:6" x14ac:dyDescent="0.25">
      <c r="D79">
        <v>1407</v>
      </c>
      <c r="E79" t="s">
        <v>373</v>
      </c>
      <c r="F79" s="4">
        <f>HLOOKUP($E$4,'5.1 Bilan'!$F$3:$BF$226,74,0)</f>
        <v>0</v>
      </c>
    </row>
    <row r="80" spans="2:6" x14ac:dyDescent="0.25">
      <c r="D80">
        <v>1409</v>
      </c>
      <c r="E80" t="s">
        <v>374</v>
      </c>
      <c r="F80" s="4">
        <f>HLOOKUP($E$4,'5.1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HLOOKUP($E$4,'5.1 Bilan'!$F$3:$BF$226,78,0)</f>
        <v>0</v>
      </c>
    </row>
    <row r="84" spans="3:6" x14ac:dyDescent="0.25">
      <c r="D84" s="79">
        <v>1421</v>
      </c>
      <c r="E84" s="79" t="s">
        <v>376</v>
      </c>
      <c r="F84" s="4">
        <f>HLOOKUP($E$4,'5.1 Bilan'!$F$3:$BF$226,79,0)</f>
        <v>0</v>
      </c>
    </row>
    <row r="85" spans="3:6" x14ac:dyDescent="0.25">
      <c r="D85" s="79">
        <v>1427</v>
      </c>
      <c r="E85" s="79" t="s">
        <v>593</v>
      </c>
      <c r="F85" s="4">
        <f>HLOOKUP($E$4,'5.1 Bilan'!$F$3:$BF$226,80,0)</f>
        <v>1219.6500000000001</v>
      </c>
    </row>
    <row r="86" spans="3:6" x14ac:dyDescent="0.25">
      <c r="D86" s="79">
        <v>1429</v>
      </c>
      <c r="E86" s="79" t="s">
        <v>476</v>
      </c>
      <c r="F86" s="4">
        <f>HLOOKUP($E$4,'5.1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HLOOKUP($E$4,'5.1 Bilan'!$F$3:$BF$226,84,0)</f>
        <v>0</v>
      </c>
    </row>
    <row r="90" spans="3:6" x14ac:dyDescent="0.25">
      <c r="D90">
        <v>1441</v>
      </c>
      <c r="E90" t="s">
        <v>379</v>
      </c>
      <c r="F90" s="4">
        <f>HLOOKUP($E$4,'5.1 Bilan'!$F$3:$BF$226,85,0)</f>
        <v>0</v>
      </c>
    </row>
    <row r="91" spans="3:6" x14ac:dyDescent="0.25">
      <c r="D91">
        <v>1442</v>
      </c>
      <c r="E91" t="s">
        <v>378</v>
      </c>
      <c r="F91" s="4">
        <f>HLOOKUP($E$4,'5.1 Bilan'!$F$3:$BF$226,86,0)</f>
        <v>22500</v>
      </c>
    </row>
    <row r="92" spans="3:6" x14ac:dyDescent="0.25">
      <c r="D92">
        <v>1443</v>
      </c>
      <c r="E92" t="s">
        <v>380</v>
      </c>
      <c r="F92" s="4">
        <f>HLOOKUP($E$4,'5.1 Bilan'!$F$3:$BF$226,87,0)</f>
        <v>0</v>
      </c>
    </row>
    <row r="93" spans="3:6" x14ac:dyDescent="0.25">
      <c r="D93">
        <v>1444</v>
      </c>
      <c r="E93" t="s">
        <v>381</v>
      </c>
      <c r="F93" s="4">
        <f>HLOOKUP($E$4,'5.1 Bilan'!$F$3:$BF$226,88,0)</f>
        <v>0</v>
      </c>
    </row>
    <row r="94" spans="3:6" x14ac:dyDescent="0.25">
      <c r="D94">
        <v>1445</v>
      </c>
      <c r="E94" t="s">
        <v>382</v>
      </c>
      <c r="F94" s="4">
        <f>HLOOKUP($E$4,'5.1 Bilan'!$F$3:$BF$226,89,0)</f>
        <v>0</v>
      </c>
    </row>
    <row r="95" spans="3:6" x14ac:dyDescent="0.25">
      <c r="D95">
        <v>1446</v>
      </c>
      <c r="E95" t="s">
        <v>383</v>
      </c>
      <c r="F95" s="4">
        <f>HLOOKUP($E$4,'5.1 Bilan'!$F$3:$BF$226,90,0)</f>
        <v>0</v>
      </c>
    </row>
    <row r="96" spans="3:6" x14ac:dyDescent="0.25">
      <c r="D96">
        <v>1447</v>
      </c>
      <c r="E96" t="s">
        <v>384</v>
      </c>
      <c r="F96" s="4">
        <f>HLOOKUP($E$4,'5.1 Bilan'!$F$3:$BF$226,91,0)</f>
        <v>0</v>
      </c>
    </row>
    <row r="97" spans="3:6" x14ac:dyDescent="0.25">
      <c r="D97">
        <v>1448</v>
      </c>
      <c r="E97" t="s">
        <v>385</v>
      </c>
      <c r="F97" s="4">
        <f>HLOOKUP($E$4,'5.1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HLOOKUP($E$4,'5.1 Bilan'!$F$3:$BF$226,95,0)</f>
        <v>0</v>
      </c>
    </row>
    <row r="101" spans="3:6" x14ac:dyDescent="0.25">
      <c r="D101">
        <v>1451</v>
      </c>
      <c r="E101" t="s">
        <v>386</v>
      </c>
      <c r="F101" s="4">
        <f>HLOOKUP($E$4,'5.1 Bilan'!$F$3:$BF$226,96,0)</f>
        <v>0</v>
      </c>
    </row>
    <row r="102" spans="3:6" x14ac:dyDescent="0.25">
      <c r="D102">
        <v>1452</v>
      </c>
      <c r="E102" t="s">
        <v>389</v>
      </c>
      <c r="F102" s="4">
        <f>HLOOKUP($E$4,'5.1 Bilan'!$F$3:$BF$226,97,0)</f>
        <v>0</v>
      </c>
    </row>
    <row r="103" spans="3:6" x14ac:dyDescent="0.25">
      <c r="D103">
        <v>1453</v>
      </c>
      <c r="E103" t="s">
        <v>390</v>
      </c>
      <c r="F103" s="4">
        <f>HLOOKUP($E$4,'5.1 Bilan'!$F$3:$BF$226,98,0)</f>
        <v>0</v>
      </c>
    </row>
    <row r="104" spans="3:6" x14ac:dyDescent="0.25">
      <c r="D104">
        <v>1454</v>
      </c>
      <c r="E104" t="s">
        <v>391</v>
      </c>
      <c r="F104" s="4">
        <f>HLOOKUP($E$4,'5.1 Bilan'!$F$3:$BF$226,99,0)</f>
        <v>0</v>
      </c>
    </row>
    <row r="105" spans="3:6" x14ac:dyDescent="0.25">
      <c r="D105">
        <v>1455</v>
      </c>
      <c r="E105" t="s">
        <v>392</v>
      </c>
      <c r="F105" s="4">
        <f>HLOOKUP($E$4,'5.1 Bilan'!$F$3:$BF$226,100,0)</f>
        <v>0</v>
      </c>
    </row>
    <row r="106" spans="3:6" x14ac:dyDescent="0.25">
      <c r="D106">
        <v>1456</v>
      </c>
      <c r="E106" t="s">
        <v>393</v>
      </c>
      <c r="F106" s="4">
        <f>HLOOKUP($E$4,'5.1 Bilan'!$F$3:$BF$226,101,0)</f>
        <v>0</v>
      </c>
    </row>
    <row r="107" spans="3:6" x14ac:dyDescent="0.25">
      <c r="D107">
        <v>1457</v>
      </c>
      <c r="E107" t="s">
        <v>394</v>
      </c>
      <c r="F107" s="4">
        <f>HLOOKUP($E$4,'5.1 Bilan'!$F$3:$BF$226,102,0)</f>
        <v>0</v>
      </c>
    </row>
    <row r="108" spans="3:6" x14ac:dyDescent="0.25">
      <c r="D108">
        <v>1458</v>
      </c>
      <c r="E108" t="s">
        <v>395</v>
      </c>
      <c r="F108" s="4">
        <f>HLOOKUP($E$4,'5.1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HLOOKUP($E$4,'5.1 Bilan'!$F$3:$BF$226,106,0)</f>
        <v>0</v>
      </c>
    </row>
    <row r="112" spans="3:6" x14ac:dyDescent="0.25">
      <c r="D112">
        <v>1461</v>
      </c>
      <c r="E112" t="s">
        <v>404</v>
      </c>
      <c r="F112" s="4">
        <f>HLOOKUP($E$4,'5.1 Bilan'!$F$3:$BF$226,107,0)</f>
        <v>0</v>
      </c>
    </row>
    <row r="113" spans="1:6" x14ac:dyDescent="0.25">
      <c r="D113">
        <v>1462</v>
      </c>
      <c r="E113" t="s">
        <v>396</v>
      </c>
      <c r="F113" s="4">
        <f>HLOOKUP($E$4,'5.1 Bilan'!$F$3:$BF$226,108,0)</f>
        <v>0</v>
      </c>
    </row>
    <row r="114" spans="1:6" x14ac:dyDescent="0.25">
      <c r="D114">
        <v>1463</v>
      </c>
      <c r="E114" t="s">
        <v>397</v>
      </c>
      <c r="F114" s="4">
        <f>HLOOKUP($E$4,'5.1 Bilan'!$F$3:$BF$226,109,0)</f>
        <v>0</v>
      </c>
    </row>
    <row r="115" spans="1:6" x14ac:dyDescent="0.25">
      <c r="D115">
        <v>1464</v>
      </c>
      <c r="E115" t="s">
        <v>398</v>
      </c>
      <c r="F115" s="4">
        <f>HLOOKUP($E$4,'5.1 Bilan'!$F$3:$BF$226,110,0)</f>
        <v>0</v>
      </c>
    </row>
    <row r="116" spans="1:6" x14ac:dyDescent="0.25">
      <c r="D116">
        <v>1465</v>
      </c>
      <c r="E116" t="s">
        <v>399</v>
      </c>
      <c r="F116" s="4">
        <f>HLOOKUP($E$4,'5.1 Bilan'!$F$3:$BF$226,111,0)</f>
        <v>0</v>
      </c>
    </row>
    <row r="117" spans="1:6" x14ac:dyDescent="0.25">
      <c r="D117">
        <v>1466</v>
      </c>
      <c r="E117" t="s">
        <v>405</v>
      </c>
      <c r="F117" s="4">
        <f>HLOOKUP($E$4,'5.1 Bilan'!$F$3:$BF$226,112,0)</f>
        <v>0</v>
      </c>
    </row>
    <row r="118" spans="1:6" x14ac:dyDescent="0.25">
      <c r="D118">
        <v>1467</v>
      </c>
      <c r="E118" t="s">
        <v>400</v>
      </c>
      <c r="F118" s="4">
        <f>HLOOKUP($E$4,'5.1 Bilan'!$F$3:$BF$226,113,0)</f>
        <v>0</v>
      </c>
    </row>
    <row r="119" spans="1:6" x14ac:dyDescent="0.25">
      <c r="D119">
        <v>1468</v>
      </c>
      <c r="E119" t="s">
        <v>401</v>
      </c>
      <c r="F119" s="4">
        <f>HLOOKUP($E$4,'5.1 Bilan'!$F$3:$BF$226,114,0)</f>
        <v>0</v>
      </c>
    </row>
    <row r="120" spans="1:6" x14ac:dyDescent="0.25">
      <c r="D120">
        <v>1469</v>
      </c>
      <c r="E120" t="s">
        <v>402</v>
      </c>
      <c r="F120" s="4">
        <f>HLOOKUP($E$4,'5.1 Bilan'!$F$3:$BF$226,115,0)</f>
        <v>0</v>
      </c>
    </row>
    <row r="121" spans="1:6" x14ac:dyDescent="0.25">
      <c r="F121" s="4"/>
    </row>
    <row r="122" spans="1:6" x14ac:dyDescent="0.25">
      <c r="F122" s="4"/>
    </row>
    <row r="123" spans="1:6" ht="21" x14ac:dyDescent="0.35">
      <c r="A123" s="81">
        <v>2</v>
      </c>
      <c r="B123" s="81"/>
      <c r="C123" s="81"/>
      <c r="D123" s="81"/>
      <c r="E123" s="81" t="s">
        <v>258</v>
      </c>
      <c r="F123" s="178">
        <f>HLOOKUP($E$4,'5.1 Bilan'!$F$3:$BF$226,118,0)</f>
        <v>6103718.5499999998</v>
      </c>
    </row>
    <row r="124" spans="1:6" x14ac:dyDescent="0.25">
      <c r="A124" s="7"/>
      <c r="B124" s="85">
        <v>20</v>
      </c>
      <c r="C124" s="85"/>
      <c r="D124" s="85"/>
      <c r="E124" s="85" t="s">
        <v>259</v>
      </c>
      <c r="F124" s="86">
        <f>HLOOKUP($E$4,'5.1 Bilan'!$F$3:$BF$226,119,0)</f>
        <v>4724519.8</v>
      </c>
    </row>
    <row r="125" spans="1:6" x14ac:dyDescent="0.25">
      <c r="C125" s="83">
        <v>200</v>
      </c>
      <c r="D125" s="83"/>
      <c r="E125" s="83" t="s">
        <v>260</v>
      </c>
      <c r="F125" s="84">
        <f>SUM(F126:F133)</f>
        <v>403308.85</v>
      </c>
    </row>
    <row r="126" spans="1:6" x14ac:dyDescent="0.25">
      <c r="D126">
        <v>2000</v>
      </c>
      <c r="E126" t="s">
        <v>407</v>
      </c>
      <c r="F126" s="4">
        <f>HLOOKUP($E$4,'5.1 Bilan'!$F$3:$BF$226,121,0)</f>
        <v>89314.75</v>
      </c>
    </row>
    <row r="127" spans="1:6" x14ac:dyDescent="0.25">
      <c r="D127">
        <v>2001</v>
      </c>
      <c r="E127" t="s">
        <v>408</v>
      </c>
      <c r="F127" s="4">
        <f>HLOOKUP($E$4,'5.1 Bilan'!$F$3:$BF$226,122,0)</f>
        <v>0</v>
      </c>
    </row>
    <row r="128" spans="1:6" x14ac:dyDescent="0.25">
      <c r="D128">
        <v>2002</v>
      </c>
      <c r="E128" t="s">
        <v>409</v>
      </c>
      <c r="F128" s="4">
        <f>HLOOKUP($E$4,'5.1 Bilan'!$F$3:$BF$226,123,0)</f>
        <v>10011.950000000001</v>
      </c>
    </row>
    <row r="129" spans="3:6" x14ac:dyDescent="0.25">
      <c r="D129">
        <v>2003</v>
      </c>
      <c r="E129" t="s">
        <v>410</v>
      </c>
      <c r="F129" s="4">
        <f>HLOOKUP($E$4,'5.1 Bilan'!$F$3:$BF$226,124,0)</f>
        <v>0</v>
      </c>
    </row>
    <row r="130" spans="3:6" x14ac:dyDescent="0.25">
      <c r="D130">
        <v>2004</v>
      </c>
      <c r="E130" t="s">
        <v>411</v>
      </c>
      <c r="F130" s="4">
        <f>HLOOKUP($E$4,'5.1 Bilan'!$F$3:$BF$226,125,0)</f>
        <v>103552</v>
      </c>
    </row>
    <row r="131" spans="3:6" x14ac:dyDescent="0.25">
      <c r="D131">
        <v>2005</v>
      </c>
      <c r="E131" t="s">
        <v>332</v>
      </c>
      <c r="F131" s="4">
        <f>HLOOKUP($E$4,'5.1 Bilan'!$F$3:$BF$226,126,0)</f>
        <v>200430.15</v>
      </c>
    </row>
    <row r="132" spans="3:6" x14ac:dyDescent="0.25">
      <c r="D132">
        <v>2006</v>
      </c>
      <c r="E132" t="s">
        <v>456</v>
      </c>
      <c r="F132" s="4">
        <f>HLOOKUP($E$4,'5.1 Bilan'!$F$3:$BF$226,127,0)</f>
        <v>0</v>
      </c>
    </row>
    <row r="133" spans="3:6" x14ac:dyDescent="0.25">
      <c r="D133">
        <v>2009</v>
      </c>
      <c r="E133" t="s">
        <v>413</v>
      </c>
      <c r="F133" s="4">
        <f>HLOOKUP($E$4,'5.1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HLOOKUP($E$4,'5.1 Bilan'!$F$3:$BF$226,131,0)</f>
        <v>1341</v>
      </c>
    </row>
    <row r="137" spans="3:6" x14ac:dyDescent="0.25">
      <c r="D137">
        <v>2011</v>
      </c>
      <c r="E137" t="s">
        <v>415</v>
      </c>
      <c r="F137" s="4">
        <f>HLOOKUP($E$4,'5.1 Bilan'!$F$3:$BF$226,132,0)</f>
        <v>0</v>
      </c>
    </row>
    <row r="138" spans="3:6" x14ac:dyDescent="0.25">
      <c r="D138">
        <v>2012</v>
      </c>
      <c r="E138" t="s">
        <v>416</v>
      </c>
      <c r="F138" s="4">
        <f>HLOOKUP($E$4,'5.1 Bilan'!$F$3:$BF$226,133,0)</f>
        <v>0</v>
      </c>
    </row>
    <row r="139" spans="3:6" x14ac:dyDescent="0.25">
      <c r="D139">
        <v>2013</v>
      </c>
      <c r="E139" t="s">
        <v>417</v>
      </c>
      <c r="F139" s="4">
        <f>HLOOKUP($E$4,'5.1 Bilan'!$F$3:$BF$226,134,0)</f>
        <v>0</v>
      </c>
    </row>
    <row r="140" spans="3:6" x14ac:dyDescent="0.25">
      <c r="D140">
        <v>2014</v>
      </c>
      <c r="E140" t="s">
        <v>419</v>
      </c>
      <c r="F140" s="4">
        <f>HLOOKUP($E$4,'5.1 Bilan'!$F$3:$BF$226,135,0)</f>
        <v>149085</v>
      </c>
    </row>
    <row r="141" spans="3:6" x14ac:dyDescent="0.25">
      <c r="D141">
        <v>2015</v>
      </c>
      <c r="E141" t="s">
        <v>418</v>
      </c>
      <c r="F141" s="4">
        <f>HLOOKUP($E$4,'5.1 Bilan'!$F$3:$BF$226,136,0)</f>
        <v>0</v>
      </c>
    </row>
    <row r="142" spans="3:6" x14ac:dyDescent="0.25">
      <c r="D142">
        <v>2016</v>
      </c>
      <c r="E142" t="s">
        <v>276</v>
      </c>
      <c r="F142" s="4">
        <f>HLOOKUP($E$4,'5.1 Bilan'!$F$3:$BF$226,137,0)</f>
        <v>0</v>
      </c>
    </row>
    <row r="143" spans="3:6" x14ac:dyDescent="0.25">
      <c r="D143">
        <v>2019</v>
      </c>
      <c r="E143" t="s">
        <v>420</v>
      </c>
      <c r="F143" s="4">
        <f>HLOOKUP($E$4,'5.1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HLOOKUP($E$4,'5.1 Bilan'!$F$3:$BF$226,141,0)</f>
        <v>0</v>
      </c>
    </row>
    <row r="147" spans="3:6" x14ac:dyDescent="0.25">
      <c r="D147">
        <v>2041</v>
      </c>
      <c r="E147" t="s">
        <v>284</v>
      </c>
      <c r="F147" s="4">
        <f>HLOOKUP($E$4,'5.1 Bilan'!$F$3:$BF$226,142,0)</f>
        <v>71826.45</v>
      </c>
    </row>
    <row r="148" spans="3:6" x14ac:dyDescent="0.25">
      <c r="D148">
        <v>2042</v>
      </c>
      <c r="E148" t="s">
        <v>340</v>
      </c>
      <c r="F148" s="4">
        <f>HLOOKUP($E$4,'5.1 Bilan'!$F$3:$BF$226,143,0)</f>
        <v>0</v>
      </c>
    </row>
    <row r="149" spans="3:6" x14ac:dyDescent="0.25">
      <c r="D149">
        <v>2043</v>
      </c>
      <c r="E149" t="s">
        <v>341</v>
      </c>
      <c r="F149" s="4">
        <f>HLOOKUP($E$4,'5.1 Bilan'!$F$3:$BF$226,144,0)</f>
        <v>224636.55</v>
      </c>
    </row>
    <row r="150" spans="3:6" x14ac:dyDescent="0.25">
      <c r="D150">
        <v>2044</v>
      </c>
      <c r="E150" t="s">
        <v>421</v>
      </c>
      <c r="F150" s="4">
        <f>HLOOKUP($E$4,'5.1 Bilan'!$F$3:$BF$226,145,0)</f>
        <v>0</v>
      </c>
    </row>
    <row r="151" spans="3:6" x14ac:dyDescent="0.25">
      <c r="D151">
        <v>2045</v>
      </c>
      <c r="E151" t="s">
        <v>343</v>
      </c>
      <c r="F151" s="4">
        <f>HLOOKUP($E$4,'5.1 Bilan'!$F$3:$BF$226,146,0)</f>
        <v>0</v>
      </c>
    </row>
    <row r="152" spans="3:6" x14ac:dyDescent="0.25">
      <c r="D152">
        <v>2046</v>
      </c>
      <c r="E152" t="s">
        <v>422</v>
      </c>
      <c r="F152" s="4">
        <f>HLOOKUP($E$4,'5.1 Bilan'!$F$3:$BF$226,147,0)</f>
        <v>0</v>
      </c>
    </row>
    <row r="153" spans="3:6" x14ac:dyDescent="0.25">
      <c r="D153">
        <v>2049</v>
      </c>
      <c r="E153" t="s">
        <v>423</v>
      </c>
      <c r="F153" s="4">
        <f>HLOOKUP($E$4,'5.1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HLOOKUP($E$4,'5.1 Bilan'!$F$3:$BF$226,151,0)</f>
        <v>0</v>
      </c>
    </row>
    <row r="157" spans="3:6" x14ac:dyDescent="0.25">
      <c r="D157">
        <v>2051</v>
      </c>
      <c r="E157" t="s">
        <v>425</v>
      </c>
      <c r="F157" s="4">
        <f>HLOOKUP($E$4,'5.1 Bilan'!$F$3:$BF$226,152,0)</f>
        <v>0</v>
      </c>
    </row>
    <row r="158" spans="3:6" x14ac:dyDescent="0.25">
      <c r="D158">
        <v>2052</v>
      </c>
      <c r="E158" t="s">
        <v>426</v>
      </c>
      <c r="F158" s="4">
        <f>HLOOKUP($E$4,'5.1 Bilan'!$F$3:$BF$226,153,0)</f>
        <v>0</v>
      </c>
    </row>
    <row r="159" spans="3:6" x14ac:dyDescent="0.25">
      <c r="D159">
        <v>2053</v>
      </c>
      <c r="E159" t="s">
        <v>430</v>
      </c>
      <c r="F159" s="4">
        <f>HLOOKUP($E$4,'5.1 Bilan'!$F$3:$BF$226,154,0)</f>
        <v>0</v>
      </c>
    </row>
    <row r="160" spans="3:6" x14ac:dyDescent="0.25">
      <c r="D160">
        <v>2054</v>
      </c>
      <c r="E160" t="s">
        <v>428</v>
      </c>
      <c r="F160" s="4">
        <f>HLOOKUP($E$4,'5.1 Bilan'!$F$3:$BF$226,155,0)</f>
        <v>0</v>
      </c>
    </row>
    <row r="161" spans="3:6" x14ac:dyDescent="0.25">
      <c r="D161">
        <v>2055</v>
      </c>
      <c r="E161" t="s">
        <v>427</v>
      </c>
      <c r="F161" s="4">
        <f>HLOOKUP($E$4,'5.1 Bilan'!$F$3:$BF$226,156,0)</f>
        <v>0</v>
      </c>
    </row>
    <row r="162" spans="3:6" x14ac:dyDescent="0.25">
      <c r="D162">
        <v>2056</v>
      </c>
      <c r="E162" t="s">
        <v>429</v>
      </c>
      <c r="F162" s="4">
        <f>HLOOKUP($E$4,'5.1 Bilan'!$F$3:$BF$226,157,0)</f>
        <v>0</v>
      </c>
    </row>
    <row r="163" spans="3:6" x14ac:dyDescent="0.25">
      <c r="D163">
        <v>2057</v>
      </c>
      <c r="E163" t="s">
        <v>431</v>
      </c>
      <c r="F163" s="4">
        <f>HLOOKUP($E$4,'5.1 Bilan'!$F$3:$BF$226,158,0)</f>
        <v>0</v>
      </c>
    </row>
    <row r="164" spans="3:6" x14ac:dyDescent="0.25">
      <c r="D164">
        <v>2058</v>
      </c>
      <c r="E164" t="s">
        <v>432</v>
      </c>
      <c r="F164" s="4">
        <f>HLOOKUP($E$4,'5.1 Bilan'!$F$3:$BF$226,159,0)</f>
        <v>0</v>
      </c>
    </row>
    <row r="165" spans="3:6" x14ac:dyDescent="0.25">
      <c r="D165">
        <v>2059</v>
      </c>
      <c r="E165" t="s">
        <v>433</v>
      </c>
      <c r="F165" s="4">
        <f>HLOOKUP($E$4,'5.1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HLOOKUP($E$4,'5.1 Bilan'!$F$3:$BF$226,163,0)</f>
        <v>0</v>
      </c>
    </row>
    <row r="169" spans="3:6" x14ac:dyDescent="0.25">
      <c r="D169">
        <v>2062</v>
      </c>
      <c r="E169" t="s">
        <v>435</v>
      </c>
      <c r="F169" s="4">
        <f>HLOOKUP($E$4,'5.1 Bilan'!$F$3:$BF$226,164,0)</f>
        <v>0</v>
      </c>
    </row>
    <row r="170" spans="3:6" x14ac:dyDescent="0.25">
      <c r="D170">
        <v>2063</v>
      </c>
      <c r="E170" t="s">
        <v>436</v>
      </c>
      <c r="F170" s="4">
        <f>HLOOKUP($E$4,'5.1 Bilan'!$F$3:$BF$226,165,0)</f>
        <v>3874321.95</v>
      </c>
    </row>
    <row r="171" spans="3:6" x14ac:dyDescent="0.25">
      <c r="D171">
        <v>2064</v>
      </c>
      <c r="E171" t="s">
        <v>457</v>
      </c>
      <c r="F171" s="4">
        <f>HLOOKUP($E$4,'5.1 Bilan'!$F$3:$BF$226,166,0)</f>
        <v>0</v>
      </c>
    </row>
    <row r="172" spans="3:6" x14ac:dyDescent="0.25">
      <c r="D172">
        <v>2067</v>
      </c>
      <c r="E172" t="s">
        <v>438</v>
      </c>
      <c r="F172" s="4">
        <f>HLOOKUP($E$4,'5.1 Bilan'!$F$3:$BF$226,167,0)</f>
        <v>0</v>
      </c>
    </row>
    <row r="173" spans="3:6" x14ac:dyDescent="0.25">
      <c r="D173">
        <v>2069</v>
      </c>
      <c r="E173" t="s">
        <v>439</v>
      </c>
      <c r="F173" s="4">
        <f>HLOOKUP($E$4,'5.1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HLOOKUP($E$4,'5.1 Bilan'!$F$3:$BF$226,171,0)</f>
        <v>0</v>
      </c>
    </row>
    <row r="177" spans="2:6" x14ac:dyDescent="0.25">
      <c r="D177">
        <v>2082</v>
      </c>
      <c r="E177" t="s">
        <v>441</v>
      </c>
      <c r="F177" s="4">
        <f>HLOOKUP($E$4,'5.1 Bilan'!$F$3:$BF$226,172,0)</f>
        <v>0</v>
      </c>
    </row>
    <row r="178" spans="2:6" x14ac:dyDescent="0.25">
      <c r="D178">
        <v>2083</v>
      </c>
      <c r="E178" t="s">
        <v>442</v>
      </c>
      <c r="F178" s="4">
        <f>HLOOKUP($E$4,'5.1 Bilan'!$F$3:$BF$226,173,0)</f>
        <v>0</v>
      </c>
    </row>
    <row r="179" spans="2:6" x14ac:dyDescent="0.25">
      <c r="D179">
        <v>2084</v>
      </c>
      <c r="E179" t="s">
        <v>443</v>
      </c>
      <c r="F179" s="4">
        <f>HLOOKUP($E$4,'5.1 Bilan'!$F$3:$BF$226,174,0)</f>
        <v>0</v>
      </c>
    </row>
    <row r="180" spans="2:6" x14ac:dyDescent="0.25">
      <c r="D180">
        <v>2085</v>
      </c>
      <c r="E180" t="s">
        <v>445</v>
      </c>
      <c r="F180" s="4">
        <f>HLOOKUP($E$4,'5.1 Bilan'!$F$3:$BF$226,175,0)</f>
        <v>0</v>
      </c>
    </row>
    <row r="181" spans="2:6" x14ac:dyDescent="0.25">
      <c r="D181">
        <v>2086</v>
      </c>
      <c r="E181" t="s">
        <v>444</v>
      </c>
      <c r="F181" s="4">
        <f>HLOOKUP($E$4,'5.1 Bilan'!$F$3:$BF$226,176,0)</f>
        <v>0</v>
      </c>
    </row>
    <row r="182" spans="2:6" x14ac:dyDescent="0.25">
      <c r="D182">
        <v>2087</v>
      </c>
      <c r="E182" t="s">
        <v>446</v>
      </c>
      <c r="F182" s="4">
        <f>HLOOKUP($E$4,'5.1 Bilan'!$F$3:$BF$226,177,0)</f>
        <v>0</v>
      </c>
    </row>
    <row r="183" spans="2:6" x14ac:dyDescent="0.25">
      <c r="D183">
        <v>2088</v>
      </c>
      <c r="E183" t="s">
        <v>447</v>
      </c>
      <c r="F183" s="4">
        <f>HLOOKUP($E$4,'5.1 Bilan'!$F$3:$BF$226,178,0)</f>
        <v>0</v>
      </c>
    </row>
    <row r="184" spans="2:6" x14ac:dyDescent="0.25">
      <c r="D184">
        <v>2089</v>
      </c>
      <c r="E184" t="s">
        <v>448</v>
      </c>
      <c r="F184" s="4">
        <f>HLOOKUP($E$4,'5.1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HLOOKUP($E$4,'5.1 Bilan'!$F$3:$BF$226,182,0)</f>
        <v>0</v>
      </c>
    </row>
    <row r="188" spans="2:6" x14ac:dyDescent="0.25">
      <c r="D188">
        <v>2091</v>
      </c>
      <c r="E188" t="s">
        <v>449</v>
      </c>
      <c r="F188" s="4">
        <f>HLOOKUP($E$4,'5.1 Bilan'!$F$3:$BF$226,183,0)</f>
        <v>0</v>
      </c>
    </row>
    <row r="189" spans="2:6" x14ac:dyDescent="0.25">
      <c r="D189">
        <v>2092</v>
      </c>
      <c r="E189" t="s">
        <v>450</v>
      </c>
      <c r="F189" s="4">
        <f>HLOOKUP($E$4,'5.1 Bilan'!$F$3:$BF$226,184,0)</f>
        <v>0</v>
      </c>
    </row>
    <row r="190" spans="2:6" x14ac:dyDescent="0.25">
      <c r="D190">
        <v>2093</v>
      </c>
      <c r="E190" t="s">
        <v>451</v>
      </c>
      <c r="F190" s="4">
        <f>HLOOKUP($E$4,'5.1 Bilan'!$F$3:$BF$226,185,0)</f>
        <v>0</v>
      </c>
    </row>
    <row r="191" spans="2:6" x14ac:dyDescent="0.25">
      <c r="F191" s="4"/>
    </row>
    <row r="192" spans="2:6" x14ac:dyDescent="0.25">
      <c r="B192" s="85">
        <v>29</v>
      </c>
      <c r="C192" s="85"/>
      <c r="D192" s="85"/>
      <c r="E192" s="85" t="s">
        <v>267</v>
      </c>
      <c r="F192" s="86">
        <f>HLOOKUP($E$4,'5.1 Bilan'!$F$3:$BF$226,187,0)</f>
        <v>1379198.75</v>
      </c>
    </row>
    <row r="193" spans="3:6" x14ac:dyDescent="0.25">
      <c r="C193" s="83">
        <v>290</v>
      </c>
      <c r="D193" s="83"/>
      <c r="E193" s="83" t="s">
        <v>268</v>
      </c>
      <c r="F193" s="84">
        <f>SUM(F194)</f>
        <v>760054.2</v>
      </c>
    </row>
    <row r="194" spans="3:6" x14ac:dyDescent="0.25">
      <c r="D194">
        <v>2900</v>
      </c>
      <c r="E194" t="s">
        <v>268</v>
      </c>
      <c r="F194" s="4">
        <f>HLOOKUP($E$4,'5.1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HLOOKUP($E$4,'5.1 Bilan'!$F$3:$BF$226,192,0)</f>
        <v>0</v>
      </c>
    </row>
    <row r="198" spans="3:6" x14ac:dyDescent="0.25">
      <c r="D198">
        <v>2911</v>
      </c>
      <c r="E198" t="s">
        <v>452</v>
      </c>
      <c r="F198" s="4">
        <f>HLOOKUP($E$4,'5.1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HLOOKUP($E$4,'5.1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HLOOKUP($E$4,'5.1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HLOOKUP($E$4,'5.1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HLOOKUP($E$4,'5.1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HLOOKUP($E$4,'5.1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HLOOKUP($E$4,'5.1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HLOOKUP($E$4,'5.1 Bilan'!$F$3:$BF$226,214,0)</f>
        <v>26545.08</v>
      </c>
    </row>
    <row r="220" spans="3:6" x14ac:dyDescent="0.25">
      <c r="D220">
        <v>2999</v>
      </c>
      <c r="E220" t="s">
        <v>595</v>
      </c>
      <c r="F220" s="4">
        <f>HLOOKUP($E$4,'5.1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HLOOKUP($E$4,'5.1 Bilan'!$F$3:$BF$226,218,0)</f>
        <v>41403.599999999999</v>
      </c>
    </row>
    <row r="224" spans="3:6" x14ac:dyDescent="0.25">
      <c r="D224">
        <v>2990</v>
      </c>
      <c r="E224" t="s">
        <v>605</v>
      </c>
      <c r="F224" s="4">
        <f>HLOOKUP($E$4,'5.1 Bilan'!$F$3:$BF$226,219,0)</f>
        <v>26545.08</v>
      </c>
    </row>
    <row r="225" spans="5:6" x14ac:dyDescent="0.25">
      <c r="F225" s="4"/>
    </row>
    <row r="226" spans="5:6" x14ac:dyDescent="0.25">
      <c r="E226" s="7" t="s">
        <v>604</v>
      </c>
      <c r="F226" s="4">
        <f>HLOOKUP($E$4,'5.1 Bilan'!$F$3:$BF$226,221,0)</f>
        <v>67948.679999999993</v>
      </c>
    </row>
    <row r="227" spans="5:6" x14ac:dyDescent="0.25">
      <c r="F227" s="4"/>
    </row>
    <row r="228" spans="5:6" x14ac:dyDescent="0.25">
      <c r="E228" s="60" t="s">
        <v>603</v>
      </c>
      <c r="F228" s="4">
        <f>HLOOKUP($E$4,'5.1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'5.1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'5.1 Bilan'!BG2</f>
        <v>73709</v>
      </c>
    </row>
    <row r="3" spans="1:6" x14ac:dyDescent="0.25">
      <c r="F3" s="47" t="s">
        <v>455</v>
      </c>
    </row>
    <row r="4" spans="1:6" ht="21" x14ac:dyDescent="0.35">
      <c r="A4" s="73">
        <v>1</v>
      </c>
      <c r="B4" s="73"/>
      <c r="C4" s="73"/>
      <c r="D4" s="73"/>
      <c r="E4" s="73" t="s">
        <v>246</v>
      </c>
      <c r="F4" s="87">
        <f>'5.1 Bilan'!BG4</f>
        <v>861770711.44999981</v>
      </c>
    </row>
    <row r="5" spans="1:6" x14ac:dyDescent="0.25">
      <c r="A5" s="78"/>
      <c r="B5" s="74">
        <v>10</v>
      </c>
      <c r="C5" s="74"/>
      <c r="D5" s="74"/>
      <c r="E5" s="74" t="s">
        <v>247</v>
      </c>
      <c r="F5" s="75">
        <f>'5.1 Bilan'!BG5</f>
        <v>335997335.88</v>
      </c>
    </row>
    <row r="6" spans="1:6" x14ac:dyDescent="0.25">
      <c r="A6" s="79"/>
      <c r="B6" s="79"/>
      <c r="C6" s="69">
        <v>100</v>
      </c>
      <c r="D6" s="69"/>
      <c r="E6" s="69" t="s">
        <v>248</v>
      </c>
      <c r="F6" s="70">
        <f>'5.1 Bilan'!BG6</f>
        <v>99127300.920000017</v>
      </c>
    </row>
    <row r="7" spans="1:6" x14ac:dyDescent="0.25">
      <c r="D7">
        <v>1000</v>
      </c>
      <c r="E7" t="s">
        <v>322</v>
      </c>
      <c r="F7" s="89">
        <f>'5.1 Bilan'!BG7</f>
        <v>254759.97999999992</v>
      </c>
    </row>
    <row r="8" spans="1:6" x14ac:dyDescent="0.25">
      <c r="D8">
        <v>1001</v>
      </c>
      <c r="E8" t="s">
        <v>323</v>
      </c>
      <c r="F8" s="89">
        <f>'5.1 Bilan'!BG8</f>
        <v>27891579.709999993</v>
      </c>
    </row>
    <row r="9" spans="1:6" x14ac:dyDescent="0.25">
      <c r="D9">
        <v>1002</v>
      </c>
      <c r="E9" t="s">
        <v>331</v>
      </c>
      <c r="F9" s="89">
        <f>'5.1 Bilan'!BG9</f>
        <v>70764675.660000011</v>
      </c>
    </row>
    <row r="10" spans="1:6" x14ac:dyDescent="0.25">
      <c r="D10">
        <v>1003</v>
      </c>
      <c r="E10" t="s">
        <v>324</v>
      </c>
      <c r="F10" s="89">
        <f>'5.1 Bilan'!BG10</f>
        <v>120000</v>
      </c>
    </row>
    <row r="11" spans="1:6" x14ac:dyDescent="0.25">
      <c r="D11">
        <v>1004</v>
      </c>
      <c r="E11" t="s">
        <v>325</v>
      </c>
      <c r="F11" s="89">
        <f>'5.1 Bilan'!BG11</f>
        <v>-7592.5199999999995</v>
      </c>
    </row>
    <row r="12" spans="1:6" x14ac:dyDescent="0.25">
      <c r="D12">
        <v>1009</v>
      </c>
      <c r="E12" t="s">
        <v>326</v>
      </c>
      <c r="F12" s="89">
        <f>'5.1 Bilan'!BG12</f>
        <v>103878.09000000001</v>
      </c>
    </row>
    <row r="13" spans="1:6" x14ac:dyDescent="0.25">
      <c r="F13" s="80"/>
    </row>
    <row r="14" spans="1:6" x14ac:dyDescent="0.25">
      <c r="A14" s="79"/>
      <c r="B14" s="79"/>
      <c r="C14" s="69">
        <v>101</v>
      </c>
      <c r="D14" s="69"/>
      <c r="E14" s="69" t="s">
        <v>249</v>
      </c>
      <c r="F14" s="70">
        <f>'5.1 Bilan'!BG14</f>
        <v>94364768.199999973</v>
      </c>
    </row>
    <row r="15" spans="1:6" x14ac:dyDescent="0.25">
      <c r="D15">
        <v>1010</v>
      </c>
      <c r="E15" t="s">
        <v>327</v>
      </c>
      <c r="F15" s="89">
        <f>'5.1 Bilan'!BG15</f>
        <v>30122169.16</v>
      </c>
    </row>
    <row r="16" spans="1:6" x14ac:dyDescent="0.25">
      <c r="D16">
        <v>1011</v>
      </c>
      <c r="E16" t="s">
        <v>408</v>
      </c>
      <c r="F16" s="89">
        <f>'5.1 Bilan'!BG16</f>
        <v>4853584.5599999996</v>
      </c>
    </row>
    <row r="17" spans="3:6" x14ac:dyDescent="0.25">
      <c r="D17">
        <v>1012</v>
      </c>
      <c r="E17" t="s">
        <v>328</v>
      </c>
      <c r="F17" s="89">
        <f>'5.1 Bilan'!BG17</f>
        <v>52783837.45000001</v>
      </c>
    </row>
    <row r="18" spans="3:6" x14ac:dyDescent="0.25">
      <c r="D18">
        <v>1013</v>
      </c>
      <c r="E18" t="s">
        <v>329</v>
      </c>
      <c r="F18" s="89">
        <f>'5.1 Bilan'!BG18</f>
        <v>557590.19999999995</v>
      </c>
    </row>
    <row r="19" spans="3:6" x14ac:dyDescent="0.25">
      <c r="D19">
        <v>1014</v>
      </c>
      <c r="E19" t="s">
        <v>330</v>
      </c>
      <c r="F19" s="89">
        <f>'5.1 Bilan'!BG19</f>
        <v>1492525.1600000001</v>
      </c>
    </row>
    <row r="20" spans="3:6" x14ac:dyDescent="0.25">
      <c r="D20">
        <v>1015</v>
      </c>
      <c r="E20" t="s">
        <v>332</v>
      </c>
      <c r="F20" s="89">
        <f>'5.1 Bilan'!BG20</f>
        <v>3872905.42</v>
      </c>
    </row>
    <row r="21" spans="3:6" x14ac:dyDescent="0.25">
      <c r="D21">
        <v>1016</v>
      </c>
      <c r="E21" t="s">
        <v>333</v>
      </c>
      <c r="F21" s="89">
        <f>'5.1 Bilan'!BG21</f>
        <v>34131.949999999997</v>
      </c>
    </row>
    <row r="22" spans="3:6" x14ac:dyDescent="0.25">
      <c r="D22">
        <v>1019</v>
      </c>
      <c r="E22" t="s">
        <v>334</v>
      </c>
      <c r="F22" s="89">
        <f>'5.1 Bilan'!BG22</f>
        <v>648024.30000000016</v>
      </c>
    </row>
    <row r="23" spans="3:6" x14ac:dyDescent="0.25">
      <c r="F23" s="80"/>
    </row>
    <row r="24" spans="3:6" x14ac:dyDescent="0.25">
      <c r="C24" s="69">
        <v>102</v>
      </c>
      <c r="D24" s="69"/>
      <c r="E24" s="69" t="s">
        <v>250</v>
      </c>
      <c r="F24" s="70">
        <f>'5.1 Bilan'!BG24</f>
        <v>771632.89</v>
      </c>
    </row>
    <row r="25" spans="3:6" x14ac:dyDescent="0.25">
      <c r="D25">
        <v>1020</v>
      </c>
      <c r="E25" t="s">
        <v>335</v>
      </c>
      <c r="F25" s="89">
        <f>'5.1 Bilan'!BG25</f>
        <v>771632.89</v>
      </c>
    </row>
    <row r="26" spans="3:6" x14ac:dyDescent="0.25">
      <c r="D26">
        <v>1022</v>
      </c>
      <c r="E26" t="s">
        <v>336</v>
      </c>
      <c r="F26" s="89">
        <f>'5.1 Bilan'!BG26</f>
        <v>0</v>
      </c>
    </row>
    <row r="27" spans="3:6" x14ac:dyDescent="0.25">
      <c r="D27">
        <v>1023</v>
      </c>
      <c r="E27" t="s">
        <v>337</v>
      </c>
      <c r="F27" s="89">
        <f>'5.1 Bilan'!BG27</f>
        <v>0</v>
      </c>
    </row>
    <row r="28" spans="3:6" x14ac:dyDescent="0.25">
      <c r="D28">
        <v>1029</v>
      </c>
      <c r="E28" t="s">
        <v>338</v>
      </c>
      <c r="F28" s="89">
        <f>'5.1 Bilan'!BG28</f>
        <v>0</v>
      </c>
    </row>
    <row r="29" spans="3:6" x14ac:dyDescent="0.25">
      <c r="F29" s="80"/>
    </row>
    <row r="30" spans="3:6" x14ac:dyDescent="0.25">
      <c r="C30" s="69">
        <v>104</v>
      </c>
      <c r="D30" s="69"/>
      <c r="E30" s="69" t="s">
        <v>251</v>
      </c>
      <c r="F30" s="70">
        <f>'5.1 Bilan'!BG30</f>
        <v>25785773.98</v>
      </c>
    </row>
    <row r="31" spans="3:6" x14ac:dyDescent="0.25">
      <c r="D31">
        <v>1040</v>
      </c>
      <c r="E31" t="s">
        <v>61</v>
      </c>
      <c r="F31" s="89">
        <f>'5.1 Bilan'!BG31</f>
        <v>39965.65</v>
      </c>
    </row>
    <row r="32" spans="3:6" x14ac:dyDescent="0.25">
      <c r="D32">
        <v>1041</v>
      </c>
      <c r="E32" t="s">
        <v>339</v>
      </c>
      <c r="F32" s="89">
        <f>'5.1 Bilan'!BG32</f>
        <v>10969351.049999999</v>
      </c>
    </row>
    <row r="33" spans="3:6" x14ac:dyDescent="0.25">
      <c r="D33">
        <v>1042</v>
      </c>
      <c r="E33" t="s">
        <v>340</v>
      </c>
      <c r="F33" s="89">
        <f>'5.1 Bilan'!BG33</f>
        <v>4405255.2</v>
      </c>
    </row>
    <row r="34" spans="3:6" x14ac:dyDescent="0.25">
      <c r="D34">
        <v>1043</v>
      </c>
      <c r="E34" t="s">
        <v>341</v>
      </c>
      <c r="F34" s="89">
        <f>'5.1 Bilan'!BG34</f>
        <v>7376301.3900000015</v>
      </c>
    </row>
    <row r="35" spans="3:6" x14ac:dyDescent="0.25">
      <c r="D35">
        <v>1044</v>
      </c>
      <c r="E35" t="s">
        <v>342</v>
      </c>
      <c r="F35" s="89">
        <f>'5.1 Bilan'!BG35</f>
        <v>409798.27</v>
      </c>
    </row>
    <row r="36" spans="3:6" x14ac:dyDescent="0.25">
      <c r="D36">
        <v>1045</v>
      </c>
      <c r="E36" t="s">
        <v>343</v>
      </c>
      <c r="F36" s="89">
        <f>'5.1 Bilan'!BG36</f>
        <v>1151943.23</v>
      </c>
    </row>
    <row r="37" spans="3:6" x14ac:dyDescent="0.25">
      <c r="D37">
        <v>1046</v>
      </c>
      <c r="E37" t="s">
        <v>344</v>
      </c>
      <c r="F37" s="89">
        <f>'5.1 Bilan'!BG37</f>
        <v>662913</v>
      </c>
    </row>
    <row r="38" spans="3:6" x14ac:dyDescent="0.25">
      <c r="D38">
        <v>1049</v>
      </c>
      <c r="E38" t="s">
        <v>345</v>
      </c>
      <c r="F38" s="89">
        <f>'5.1 Bilan'!BG38</f>
        <v>770246.19000000006</v>
      </c>
    </row>
    <row r="39" spans="3:6" x14ac:dyDescent="0.25">
      <c r="F39" s="80"/>
    </row>
    <row r="40" spans="3:6" x14ac:dyDescent="0.25">
      <c r="C40" s="69">
        <v>106</v>
      </c>
      <c r="D40" s="69"/>
      <c r="E40" s="69" t="s">
        <v>252</v>
      </c>
      <c r="F40" s="70">
        <f>'5.1 Bilan'!BG40</f>
        <v>1675915.7799999998</v>
      </c>
    </row>
    <row r="41" spans="3:6" x14ac:dyDescent="0.25">
      <c r="D41">
        <v>1060</v>
      </c>
      <c r="E41" t="s">
        <v>346</v>
      </c>
      <c r="F41" s="89">
        <f>'5.1 Bilan'!BG41</f>
        <v>43828.3</v>
      </c>
    </row>
    <row r="42" spans="3:6" x14ac:dyDescent="0.25">
      <c r="D42">
        <v>1061</v>
      </c>
      <c r="E42" t="s">
        <v>347</v>
      </c>
      <c r="F42" s="89">
        <f>'5.1 Bilan'!BG42</f>
        <v>871494.88</v>
      </c>
    </row>
    <row r="43" spans="3:6" x14ac:dyDescent="0.25">
      <c r="D43">
        <v>1062</v>
      </c>
      <c r="E43" t="s">
        <v>348</v>
      </c>
      <c r="F43" s="89">
        <f>'5.1 Bilan'!BG43</f>
        <v>0</v>
      </c>
    </row>
    <row r="44" spans="3:6" x14ac:dyDescent="0.25">
      <c r="D44">
        <v>1063</v>
      </c>
      <c r="E44" t="s">
        <v>349</v>
      </c>
      <c r="F44" s="89">
        <f>'5.1 Bilan'!BG44</f>
        <v>760592.6</v>
      </c>
    </row>
    <row r="45" spans="3:6" x14ac:dyDescent="0.25">
      <c r="D45">
        <v>1068</v>
      </c>
      <c r="E45" t="s">
        <v>350</v>
      </c>
      <c r="F45" s="89">
        <f>'5.1 Bilan'!BG45</f>
        <v>0</v>
      </c>
    </row>
    <row r="46" spans="3:6" x14ac:dyDescent="0.25">
      <c r="F46" s="80"/>
    </row>
    <row r="47" spans="3:6" x14ac:dyDescent="0.25">
      <c r="C47" s="69">
        <v>107</v>
      </c>
      <c r="D47" s="69"/>
      <c r="E47" s="69" t="s">
        <v>355</v>
      </c>
      <c r="F47" s="70">
        <f>'5.1 Bilan'!BG47</f>
        <v>16335060.810000001</v>
      </c>
    </row>
    <row r="48" spans="3:6" x14ac:dyDescent="0.25">
      <c r="D48">
        <v>1070</v>
      </c>
      <c r="E48" t="s">
        <v>351</v>
      </c>
      <c r="F48" s="89">
        <f>'5.1 Bilan'!BG48</f>
        <v>4503443</v>
      </c>
    </row>
    <row r="49" spans="3:6" x14ac:dyDescent="0.25">
      <c r="D49">
        <v>1071</v>
      </c>
      <c r="E49" t="s">
        <v>352</v>
      </c>
      <c r="F49" s="89">
        <f>'5.1 Bilan'!BG49</f>
        <v>11804887.810000001</v>
      </c>
    </row>
    <row r="50" spans="3:6" x14ac:dyDescent="0.25">
      <c r="D50">
        <v>1072</v>
      </c>
      <c r="E50" t="s">
        <v>353</v>
      </c>
      <c r="F50" s="89">
        <f>'5.1 Bilan'!BG50</f>
        <v>26730</v>
      </c>
    </row>
    <row r="51" spans="3:6" x14ac:dyDescent="0.25">
      <c r="D51">
        <v>1079</v>
      </c>
      <c r="E51" t="s">
        <v>354</v>
      </c>
      <c r="F51" s="89">
        <f>'5.1 Bilan'!BG51</f>
        <v>0</v>
      </c>
    </row>
    <row r="52" spans="3:6" x14ac:dyDescent="0.25">
      <c r="F52" s="80"/>
    </row>
    <row r="53" spans="3:6" x14ac:dyDescent="0.25">
      <c r="C53" s="69">
        <v>108</v>
      </c>
      <c r="D53" s="69"/>
      <c r="E53" s="69" t="s">
        <v>253</v>
      </c>
      <c r="F53" s="70">
        <f>'5.1 Bilan'!BG53</f>
        <v>97936883.300000012</v>
      </c>
    </row>
    <row r="54" spans="3:6" x14ac:dyDescent="0.25">
      <c r="D54">
        <v>1080</v>
      </c>
      <c r="E54" t="s">
        <v>356</v>
      </c>
      <c r="F54" s="89">
        <f>'5.1 Bilan'!BG54</f>
        <v>42840556.909999996</v>
      </c>
    </row>
    <row r="55" spans="3:6" x14ac:dyDescent="0.25">
      <c r="D55">
        <v>1084</v>
      </c>
      <c r="E55" t="s">
        <v>357</v>
      </c>
      <c r="F55" s="89">
        <f>'5.1 Bilan'!BG55</f>
        <v>50584681.700000003</v>
      </c>
    </row>
    <row r="56" spans="3:6" x14ac:dyDescent="0.25">
      <c r="D56">
        <v>1086</v>
      </c>
      <c r="E56" t="s">
        <v>358</v>
      </c>
      <c r="F56" s="89">
        <f>'5.1 Bilan'!BG56</f>
        <v>0</v>
      </c>
    </row>
    <row r="57" spans="3:6" x14ac:dyDescent="0.25">
      <c r="D57">
        <v>1087</v>
      </c>
      <c r="E57" t="s">
        <v>359</v>
      </c>
      <c r="F57" s="89">
        <f>'5.1 Bilan'!BG57</f>
        <v>4511644.6900000004</v>
      </c>
    </row>
    <row r="58" spans="3:6" x14ac:dyDescent="0.25">
      <c r="D58">
        <v>1088</v>
      </c>
      <c r="E58" t="s">
        <v>360</v>
      </c>
      <c r="F58" s="89">
        <f>'5.1 Bilan'!BG58</f>
        <v>0</v>
      </c>
    </row>
    <row r="59" spans="3:6" x14ac:dyDescent="0.25">
      <c r="D59">
        <v>1089</v>
      </c>
      <c r="E59" t="s">
        <v>361</v>
      </c>
      <c r="F59" s="89">
        <f>'5.1 Bilan'!BG59</f>
        <v>0</v>
      </c>
    </row>
    <row r="60" spans="3:6" x14ac:dyDescent="0.25">
      <c r="F60" s="80"/>
    </row>
    <row r="61" spans="3:6" x14ac:dyDescent="0.25">
      <c r="C61" s="69">
        <v>109</v>
      </c>
      <c r="D61" s="69"/>
      <c r="E61" s="69" t="s">
        <v>362</v>
      </c>
      <c r="F61" s="70">
        <f>'5.1 Bilan'!BG61</f>
        <v>0</v>
      </c>
    </row>
    <row r="62" spans="3:6" x14ac:dyDescent="0.25">
      <c r="D62">
        <v>1090</v>
      </c>
      <c r="E62" t="s">
        <v>362</v>
      </c>
      <c r="F62" s="89">
        <f>'5.1 Bilan'!BG62</f>
        <v>0</v>
      </c>
    </row>
    <row r="63" spans="3:6" x14ac:dyDescent="0.25">
      <c r="D63">
        <v>1091</v>
      </c>
      <c r="E63" t="s">
        <v>363</v>
      </c>
      <c r="F63" s="89">
        <f>'5.1 Bilan'!BG63</f>
        <v>0</v>
      </c>
    </row>
    <row r="64" spans="3:6" x14ac:dyDescent="0.25">
      <c r="D64">
        <v>1092</v>
      </c>
      <c r="E64" t="s">
        <v>364</v>
      </c>
      <c r="F64" s="89">
        <f>'5.1 Bilan'!BG64</f>
        <v>0</v>
      </c>
    </row>
    <row r="65" spans="2:6" x14ac:dyDescent="0.25">
      <c r="D65">
        <v>1093</v>
      </c>
      <c r="E65" t="s">
        <v>365</v>
      </c>
      <c r="F65" s="89">
        <f>'5.1 Bilan'!BG65</f>
        <v>0</v>
      </c>
    </row>
    <row r="66" spans="2:6" x14ac:dyDescent="0.25">
      <c r="F66" s="80"/>
    </row>
    <row r="67" spans="2:6" x14ac:dyDescent="0.25">
      <c r="B67" s="74">
        <v>14</v>
      </c>
      <c r="C67" s="74"/>
      <c r="D67" s="74"/>
      <c r="E67" s="74" t="s">
        <v>254</v>
      </c>
      <c r="F67" s="75">
        <f>'5.1 Bilan'!BG67</f>
        <v>525773375.56999987</v>
      </c>
    </row>
    <row r="68" spans="2:6" x14ac:dyDescent="0.25">
      <c r="C68" s="69">
        <v>140</v>
      </c>
      <c r="D68" s="69"/>
      <c r="E68" s="69" t="s">
        <v>256</v>
      </c>
      <c r="F68" s="90">
        <f>'5.1 Bilan'!BG68</f>
        <v>511717000.63999999</v>
      </c>
    </row>
    <row r="69" spans="2:6" x14ac:dyDescent="0.25">
      <c r="D69">
        <v>1400</v>
      </c>
      <c r="E69" t="s">
        <v>366</v>
      </c>
      <c r="F69" s="89">
        <f>'5.1 Bilan'!BG69</f>
        <v>36375514.219999999</v>
      </c>
    </row>
    <row r="70" spans="2:6" x14ac:dyDescent="0.25">
      <c r="D70">
        <v>1401</v>
      </c>
      <c r="E70" t="s">
        <v>367</v>
      </c>
      <c r="F70" s="89">
        <f>'5.1 Bilan'!BG70</f>
        <v>97337341.24000001</v>
      </c>
    </row>
    <row r="71" spans="2:6" x14ac:dyDescent="0.25">
      <c r="D71">
        <v>1402</v>
      </c>
      <c r="E71" t="s">
        <v>368</v>
      </c>
      <c r="F71" s="89">
        <f>'5.1 Bilan'!BG71</f>
        <v>4496754.8100000005</v>
      </c>
    </row>
    <row r="72" spans="2:6" x14ac:dyDescent="0.25">
      <c r="D72">
        <v>1403</v>
      </c>
      <c r="E72" t="s">
        <v>369</v>
      </c>
      <c r="F72" s="89">
        <f>'5.1 Bilan'!BG72</f>
        <v>101140077.73</v>
      </c>
    </row>
    <row r="73" spans="2:6" x14ac:dyDescent="0.25">
      <c r="D73">
        <v>1404</v>
      </c>
      <c r="E73" t="s">
        <v>370</v>
      </c>
      <c r="F73" s="89">
        <f>'5.1 Bilan'!BG73</f>
        <v>202865702.13999999</v>
      </c>
    </row>
    <row r="74" spans="2:6" x14ac:dyDescent="0.25">
      <c r="D74">
        <v>1405</v>
      </c>
      <c r="E74" t="s">
        <v>371</v>
      </c>
      <c r="F74" s="89">
        <f>'5.1 Bilan'!BG74</f>
        <v>32445814.75</v>
      </c>
    </row>
    <row r="75" spans="2:6" x14ac:dyDescent="0.25">
      <c r="D75">
        <v>1406</v>
      </c>
      <c r="E75" t="s">
        <v>372</v>
      </c>
      <c r="F75" s="89">
        <f>'5.1 Bilan'!BG75</f>
        <v>7719132.4899999993</v>
      </c>
    </row>
    <row r="76" spans="2:6" x14ac:dyDescent="0.25">
      <c r="D76">
        <v>1407</v>
      </c>
      <c r="E76" t="s">
        <v>373</v>
      </c>
      <c r="F76" s="89">
        <f>'5.1 Bilan'!BG76</f>
        <v>24152115.509999998</v>
      </c>
    </row>
    <row r="77" spans="2:6" x14ac:dyDescent="0.25">
      <c r="D77">
        <v>1409</v>
      </c>
      <c r="E77" t="s">
        <v>374</v>
      </c>
      <c r="F77" s="89">
        <f>'5.1 Bilan'!BG77</f>
        <v>5184547.75</v>
      </c>
    </row>
    <row r="78" spans="2:6" x14ac:dyDescent="0.25">
      <c r="F78" s="80"/>
    </row>
    <row r="79" spans="2:6" x14ac:dyDescent="0.25">
      <c r="C79" s="69">
        <v>142</v>
      </c>
      <c r="D79" s="69"/>
      <c r="E79" s="69" t="s">
        <v>255</v>
      </c>
      <c r="F79" s="70">
        <f>'5.1 Bilan'!BG79</f>
        <v>6283090.4400000013</v>
      </c>
    </row>
    <row r="80" spans="2:6" x14ac:dyDescent="0.25">
      <c r="D80">
        <v>1420</v>
      </c>
      <c r="E80" t="s">
        <v>375</v>
      </c>
      <c r="F80" s="89">
        <f>'5.1 Bilan'!BG80</f>
        <v>177167.2</v>
      </c>
    </row>
    <row r="81" spans="3:6" x14ac:dyDescent="0.25">
      <c r="D81">
        <v>1421</v>
      </c>
      <c r="E81" t="s">
        <v>376</v>
      </c>
      <c r="F81" s="89">
        <f>'5.1 Bilan'!BG81</f>
        <v>0</v>
      </c>
    </row>
    <row r="82" spans="3:6" x14ac:dyDescent="0.25">
      <c r="F82" s="80"/>
    </row>
    <row r="83" spans="3:6" x14ac:dyDescent="0.25">
      <c r="C83" s="69">
        <v>144</v>
      </c>
      <c r="D83" s="69"/>
      <c r="E83" s="69" t="s">
        <v>257</v>
      </c>
      <c r="F83" s="70">
        <f>'5.1 Bilan'!BG85</f>
        <v>2559580</v>
      </c>
    </row>
    <row r="84" spans="3:6" x14ac:dyDescent="0.25">
      <c r="D84">
        <v>1440</v>
      </c>
      <c r="E84" t="s">
        <v>377</v>
      </c>
      <c r="F84" s="89">
        <f>'5.1 Bilan'!BG86</f>
        <v>0</v>
      </c>
    </row>
    <row r="85" spans="3:6" x14ac:dyDescent="0.25">
      <c r="D85">
        <v>1441</v>
      </c>
      <c r="E85" t="s">
        <v>379</v>
      </c>
      <c r="F85" s="89">
        <f>'5.1 Bilan'!BG87</f>
        <v>0</v>
      </c>
    </row>
    <row r="86" spans="3:6" x14ac:dyDescent="0.25">
      <c r="D86">
        <v>1442</v>
      </c>
      <c r="E86" t="s">
        <v>378</v>
      </c>
      <c r="F86" s="89">
        <f>'5.1 Bilan'!BG88</f>
        <v>1685361</v>
      </c>
    </row>
    <row r="87" spans="3:6" x14ac:dyDescent="0.25">
      <c r="D87">
        <v>1443</v>
      </c>
      <c r="E87" t="s">
        <v>380</v>
      </c>
      <c r="F87" s="89">
        <f>'5.1 Bilan'!BG89</f>
        <v>0</v>
      </c>
    </row>
    <row r="88" spans="3:6" x14ac:dyDescent="0.25">
      <c r="D88">
        <v>1444</v>
      </c>
      <c r="E88" t="s">
        <v>381</v>
      </c>
      <c r="F88" s="89">
        <f>'5.1 Bilan'!BG90</f>
        <v>0</v>
      </c>
    </row>
    <row r="89" spans="3:6" x14ac:dyDescent="0.25">
      <c r="D89">
        <v>1445</v>
      </c>
      <c r="E89" t="s">
        <v>382</v>
      </c>
      <c r="F89" s="89">
        <f>'5.1 Bilan'!BG91</f>
        <v>438477.6</v>
      </c>
    </row>
    <row r="90" spans="3:6" x14ac:dyDescent="0.25">
      <c r="D90">
        <v>1446</v>
      </c>
      <c r="E90" t="s">
        <v>383</v>
      </c>
      <c r="F90" s="89">
        <f>'5.1 Bilan'!BG92</f>
        <v>435741.4</v>
      </c>
    </row>
    <row r="91" spans="3:6" x14ac:dyDescent="0.25">
      <c r="D91">
        <v>1447</v>
      </c>
      <c r="E91" t="s">
        <v>384</v>
      </c>
      <c r="F91" s="89">
        <f>'5.1 Bilan'!BG93</f>
        <v>0</v>
      </c>
    </row>
    <row r="92" spans="3:6" x14ac:dyDescent="0.25">
      <c r="D92">
        <v>1448</v>
      </c>
      <c r="E92" t="s">
        <v>385</v>
      </c>
      <c r="F92" s="89">
        <f>'5.1 Bilan'!BG94</f>
        <v>0</v>
      </c>
    </row>
    <row r="93" spans="3:6" x14ac:dyDescent="0.25">
      <c r="F93" s="80"/>
    </row>
    <row r="94" spans="3:6" x14ac:dyDescent="0.25">
      <c r="C94" s="69">
        <v>145</v>
      </c>
      <c r="D94" s="69"/>
      <c r="E94" s="69" t="s">
        <v>388</v>
      </c>
      <c r="F94" s="70">
        <f>'5.1 Bilan'!BG96</f>
        <v>4253676.3900000006</v>
      </c>
    </row>
    <row r="95" spans="3:6" x14ac:dyDescent="0.25">
      <c r="D95">
        <v>1450</v>
      </c>
      <c r="E95" t="s">
        <v>387</v>
      </c>
      <c r="F95" s="89">
        <f>'5.1 Bilan'!BG97</f>
        <v>1</v>
      </c>
    </row>
    <row r="96" spans="3:6" x14ac:dyDescent="0.25">
      <c r="D96">
        <v>1451</v>
      </c>
      <c r="E96" t="s">
        <v>386</v>
      </c>
      <c r="F96" s="89">
        <f>'5.1 Bilan'!BG98</f>
        <v>0</v>
      </c>
    </row>
    <row r="97" spans="3:6" x14ac:dyDescent="0.25">
      <c r="D97">
        <v>1452</v>
      </c>
      <c r="E97" t="s">
        <v>389</v>
      </c>
      <c r="F97" s="89">
        <f>'5.1 Bilan'!BG99</f>
        <v>480297</v>
      </c>
    </row>
    <row r="98" spans="3:6" x14ac:dyDescent="0.25">
      <c r="D98">
        <v>1453</v>
      </c>
      <c r="E98" t="s">
        <v>390</v>
      </c>
      <c r="F98" s="89">
        <f>'5.1 Bilan'!BG100</f>
        <v>0</v>
      </c>
    </row>
    <row r="99" spans="3:6" x14ac:dyDescent="0.25">
      <c r="D99">
        <v>1454</v>
      </c>
      <c r="E99" t="s">
        <v>391</v>
      </c>
      <c r="F99" s="89">
        <f>'5.1 Bilan'!BG101</f>
        <v>613606</v>
      </c>
    </row>
    <row r="100" spans="3:6" x14ac:dyDescent="0.25">
      <c r="D100">
        <v>1455</v>
      </c>
      <c r="E100" t="s">
        <v>392</v>
      </c>
      <c r="F100" s="89">
        <f>'5.1 Bilan'!BG102</f>
        <v>3016672.39</v>
      </c>
    </row>
    <row r="101" spans="3:6" x14ac:dyDescent="0.25">
      <c r="D101">
        <v>1456</v>
      </c>
      <c r="E101" t="s">
        <v>393</v>
      </c>
      <c r="F101" s="89">
        <f>'5.1 Bilan'!BG103</f>
        <v>143100</v>
      </c>
    </row>
    <row r="102" spans="3:6" x14ac:dyDescent="0.25">
      <c r="D102">
        <v>1457</v>
      </c>
      <c r="E102" t="s">
        <v>394</v>
      </c>
      <c r="F102" s="89">
        <f>'5.1 Bilan'!BG104</f>
        <v>0</v>
      </c>
    </row>
    <row r="103" spans="3:6" x14ac:dyDescent="0.25">
      <c r="D103">
        <v>1458</v>
      </c>
      <c r="E103" t="s">
        <v>395</v>
      </c>
      <c r="F103" s="89">
        <f>'5.1 Bilan'!BG105</f>
        <v>0</v>
      </c>
    </row>
    <row r="104" spans="3:6" x14ac:dyDescent="0.25">
      <c r="F104" s="80"/>
    </row>
    <row r="105" spans="3:6" x14ac:dyDescent="0.25">
      <c r="C105" s="69">
        <v>146</v>
      </c>
      <c r="D105" s="69"/>
      <c r="E105" s="69" t="s">
        <v>406</v>
      </c>
      <c r="F105" s="70">
        <f>'5.1 Bilan'!BG107</f>
        <v>960028.1</v>
      </c>
    </row>
    <row r="106" spans="3:6" x14ac:dyDescent="0.25">
      <c r="D106">
        <v>1460</v>
      </c>
      <c r="E106" t="s">
        <v>403</v>
      </c>
      <c r="F106" s="89">
        <f>'5.1 Bilan'!BG108</f>
        <v>0</v>
      </c>
    </row>
    <row r="107" spans="3:6" x14ac:dyDescent="0.25">
      <c r="D107">
        <v>1461</v>
      </c>
      <c r="E107" t="s">
        <v>404</v>
      </c>
      <c r="F107" s="89">
        <f>'5.1 Bilan'!BG109</f>
        <v>0</v>
      </c>
    </row>
    <row r="108" spans="3:6" x14ac:dyDescent="0.25">
      <c r="D108">
        <v>1462</v>
      </c>
      <c r="E108" t="s">
        <v>396</v>
      </c>
      <c r="F108" s="89">
        <f>'5.1 Bilan'!BG110</f>
        <v>854778.1</v>
      </c>
    </row>
    <row r="109" spans="3:6" x14ac:dyDescent="0.25">
      <c r="D109">
        <v>1463</v>
      </c>
      <c r="E109" t="s">
        <v>397</v>
      </c>
      <c r="F109" s="89">
        <f>'5.1 Bilan'!BG111</f>
        <v>0</v>
      </c>
    </row>
    <row r="110" spans="3:6" x14ac:dyDescent="0.25">
      <c r="D110">
        <v>1464</v>
      </c>
      <c r="E110" t="s">
        <v>398</v>
      </c>
      <c r="F110" s="89">
        <f>'5.1 Bilan'!BG112</f>
        <v>10000</v>
      </c>
    </row>
    <row r="111" spans="3:6" x14ac:dyDescent="0.25">
      <c r="D111">
        <v>1465</v>
      </c>
      <c r="E111" t="s">
        <v>399</v>
      </c>
      <c r="F111" s="89">
        <f>'5.1 Bilan'!BG113</f>
        <v>47250</v>
      </c>
    </row>
    <row r="112" spans="3:6" x14ac:dyDescent="0.25">
      <c r="D112">
        <v>1466</v>
      </c>
      <c r="E112" t="s">
        <v>405</v>
      </c>
      <c r="F112" s="89">
        <f>'5.1 Bilan'!BG114</f>
        <v>48000</v>
      </c>
    </row>
    <row r="113" spans="1:6" x14ac:dyDescent="0.25">
      <c r="D113">
        <v>1467</v>
      </c>
      <c r="E113" t="s">
        <v>400</v>
      </c>
      <c r="F113" s="89">
        <f>'5.1 Bilan'!BG115</f>
        <v>0</v>
      </c>
    </row>
    <row r="114" spans="1:6" x14ac:dyDescent="0.25">
      <c r="D114">
        <v>1468</v>
      </c>
      <c r="E114" t="s">
        <v>401</v>
      </c>
      <c r="F114" s="89">
        <f>'5.1 Bilan'!BG116</f>
        <v>0</v>
      </c>
    </row>
    <row r="115" spans="1:6" x14ac:dyDescent="0.25">
      <c r="D115">
        <v>1469</v>
      </c>
      <c r="E115" t="s">
        <v>402</v>
      </c>
      <c r="F115" s="89">
        <f>'5.1 Bilan'!BG117</f>
        <v>0</v>
      </c>
    </row>
    <row r="116" spans="1:6" x14ac:dyDescent="0.25">
      <c r="F116" s="80"/>
    </row>
    <row r="117" spans="1:6" x14ac:dyDescent="0.25">
      <c r="F117" s="80"/>
    </row>
    <row r="118" spans="1:6" ht="21" x14ac:dyDescent="0.35">
      <c r="A118" s="81">
        <v>2</v>
      </c>
      <c r="B118" s="81"/>
      <c r="C118" s="81"/>
      <c r="D118" s="81"/>
      <c r="E118" s="81" t="s">
        <v>258</v>
      </c>
      <c r="F118" s="88">
        <f>'5.1 Bilan'!BG120</f>
        <v>861770711.44999981</v>
      </c>
    </row>
    <row r="119" spans="1:6" x14ac:dyDescent="0.25">
      <c r="A119" s="7"/>
      <c r="B119" s="85">
        <v>20</v>
      </c>
      <c r="C119" s="85"/>
      <c r="D119" s="85"/>
      <c r="E119" s="85" t="s">
        <v>259</v>
      </c>
      <c r="F119" s="86">
        <f>'5.1 Bilan'!BG121</f>
        <v>621330284.08999991</v>
      </c>
    </row>
    <row r="120" spans="1:6" x14ac:dyDescent="0.25">
      <c r="C120" s="83">
        <v>200</v>
      </c>
      <c r="D120" s="83"/>
      <c r="E120" s="83" t="s">
        <v>260</v>
      </c>
      <c r="F120" s="84">
        <f>'5.1 Bilan'!BG122</f>
        <v>42823231.329999983</v>
      </c>
    </row>
    <row r="121" spans="1:6" x14ac:dyDescent="0.25">
      <c r="D121">
        <v>2000</v>
      </c>
      <c r="E121" t="s">
        <v>407</v>
      </c>
      <c r="F121" s="89">
        <f>'5.1 Bilan'!BG123</f>
        <v>23529693.860000003</v>
      </c>
    </row>
    <row r="122" spans="1:6" x14ac:dyDescent="0.25">
      <c r="D122">
        <v>2001</v>
      </c>
      <c r="E122" t="s">
        <v>408</v>
      </c>
      <c r="F122" s="89">
        <f>'5.1 Bilan'!BG124</f>
        <v>3171912.0100000002</v>
      </c>
    </row>
    <row r="123" spans="1:6" x14ac:dyDescent="0.25">
      <c r="D123">
        <v>2002</v>
      </c>
      <c r="E123" t="s">
        <v>409</v>
      </c>
      <c r="F123" s="89">
        <f>'5.1 Bilan'!BG125</f>
        <v>2993223.6100000008</v>
      </c>
    </row>
    <row r="124" spans="1:6" x14ac:dyDescent="0.25">
      <c r="D124">
        <v>2003</v>
      </c>
      <c r="E124" t="s">
        <v>410</v>
      </c>
      <c r="F124" s="89">
        <f>'5.1 Bilan'!BG126</f>
        <v>22500</v>
      </c>
    </row>
    <row r="125" spans="1:6" x14ac:dyDescent="0.25">
      <c r="D125">
        <v>2004</v>
      </c>
      <c r="E125" t="s">
        <v>411</v>
      </c>
      <c r="F125" s="89">
        <f>'5.1 Bilan'!BG127</f>
        <v>582535.15</v>
      </c>
    </row>
    <row r="126" spans="1:6" x14ac:dyDescent="0.25">
      <c r="D126">
        <v>2005</v>
      </c>
      <c r="E126" t="s">
        <v>332</v>
      </c>
      <c r="F126" s="89">
        <f>'5.1 Bilan'!BG128</f>
        <v>3920798.34</v>
      </c>
    </row>
    <row r="127" spans="1:6" x14ac:dyDescent="0.25">
      <c r="D127">
        <v>2006</v>
      </c>
      <c r="E127" t="s">
        <v>412</v>
      </c>
      <c r="F127" s="89">
        <f>'5.1 Bilan'!BG129</f>
        <v>8598784.0099999998</v>
      </c>
    </row>
    <row r="128" spans="1:6" x14ac:dyDescent="0.25">
      <c r="D128">
        <v>2009</v>
      </c>
      <c r="E128" t="s">
        <v>413</v>
      </c>
      <c r="F128" s="89">
        <f>'5.1 Bilan'!BG130</f>
        <v>3784.35</v>
      </c>
    </row>
    <row r="129" spans="3:6" x14ac:dyDescent="0.25">
      <c r="F129" s="80"/>
    </row>
    <row r="130" spans="3:6" x14ac:dyDescent="0.25">
      <c r="C130" s="83">
        <v>201</v>
      </c>
      <c r="D130" s="83"/>
      <c r="E130" s="83" t="s">
        <v>261</v>
      </c>
      <c r="F130" s="84">
        <f>'5.1 Bilan'!BG132</f>
        <v>111929283.70000002</v>
      </c>
    </row>
    <row r="131" spans="3:6" x14ac:dyDescent="0.25">
      <c r="D131">
        <v>2010</v>
      </c>
      <c r="E131" t="s">
        <v>414</v>
      </c>
      <c r="F131" s="89">
        <f>'5.1 Bilan'!BG133</f>
        <v>27556979.050000001</v>
      </c>
    </row>
    <row r="132" spans="3:6" x14ac:dyDescent="0.25">
      <c r="D132">
        <v>2011</v>
      </c>
      <c r="E132" t="s">
        <v>415</v>
      </c>
      <c r="F132" s="89">
        <f>'5.1 Bilan'!BG134</f>
        <v>9204700.4700000007</v>
      </c>
    </row>
    <row r="133" spans="3:6" x14ac:dyDescent="0.25">
      <c r="D133">
        <v>2012</v>
      </c>
      <c r="E133" t="s">
        <v>416</v>
      </c>
      <c r="F133" s="89">
        <f>'5.1 Bilan'!BG135</f>
        <v>0</v>
      </c>
    </row>
    <row r="134" spans="3:6" x14ac:dyDescent="0.25">
      <c r="D134">
        <v>2013</v>
      </c>
      <c r="E134" t="s">
        <v>417</v>
      </c>
      <c r="F134" s="89">
        <f>'5.1 Bilan'!BG136</f>
        <v>69173.899999999994</v>
      </c>
    </row>
    <row r="135" spans="3:6" x14ac:dyDescent="0.25">
      <c r="D135">
        <v>2014</v>
      </c>
      <c r="E135" t="s">
        <v>419</v>
      </c>
      <c r="F135" s="89">
        <f>'5.1 Bilan'!BG137</f>
        <v>74600713.040000007</v>
      </c>
    </row>
    <row r="136" spans="3:6" x14ac:dyDescent="0.25">
      <c r="D136">
        <v>2015</v>
      </c>
      <c r="E136" t="s">
        <v>418</v>
      </c>
      <c r="F136" s="89">
        <f>'5.1 Bilan'!BG138</f>
        <v>0</v>
      </c>
    </row>
    <row r="137" spans="3:6" x14ac:dyDescent="0.25">
      <c r="D137">
        <v>2016</v>
      </c>
      <c r="E137" t="s">
        <v>276</v>
      </c>
      <c r="F137" s="89">
        <f>'5.1 Bilan'!BG139</f>
        <v>0</v>
      </c>
    </row>
    <row r="138" spans="3:6" x14ac:dyDescent="0.25">
      <c r="D138">
        <v>2019</v>
      </c>
      <c r="E138" t="s">
        <v>420</v>
      </c>
      <c r="F138" s="89">
        <f>'5.1 Bilan'!BG140</f>
        <v>497717.24</v>
      </c>
    </row>
    <row r="139" spans="3:6" x14ac:dyDescent="0.25">
      <c r="F139" s="80"/>
    </row>
    <row r="140" spans="3:6" x14ac:dyDescent="0.25">
      <c r="C140" s="83">
        <v>204</v>
      </c>
      <c r="D140" s="83"/>
      <c r="E140" s="83" t="s">
        <v>262</v>
      </c>
      <c r="F140" s="84">
        <f>'5.1 Bilan'!BG142</f>
        <v>16764158.679999996</v>
      </c>
    </row>
    <row r="141" spans="3:6" x14ac:dyDescent="0.25">
      <c r="D141">
        <v>2040</v>
      </c>
      <c r="E141" t="s">
        <v>61</v>
      </c>
      <c r="F141" s="89">
        <f>'5.1 Bilan'!BG143</f>
        <v>606792.1</v>
      </c>
    </row>
    <row r="142" spans="3:6" x14ac:dyDescent="0.25">
      <c r="D142">
        <v>2041</v>
      </c>
      <c r="E142" t="s">
        <v>284</v>
      </c>
      <c r="F142" s="89">
        <f>'5.1 Bilan'!BG144</f>
        <v>9000023.2399999984</v>
      </c>
    </row>
    <row r="143" spans="3:6" x14ac:dyDescent="0.25">
      <c r="D143">
        <v>2042</v>
      </c>
      <c r="E143" t="s">
        <v>340</v>
      </c>
      <c r="F143" s="89">
        <f>'5.1 Bilan'!BG145</f>
        <v>4480884.2799999993</v>
      </c>
    </row>
    <row r="144" spans="3:6" x14ac:dyDescent="0.25">
      <c r="D144">
        <v>2043</v>
      </c>
      <c r="E144" t="s">
        <v>341</v>
      </c>
      <c r="F144" s="89">
        <f>'5.1 Bilan'!BG146</f>
        <v>1656010.9600000002</v>
      </c>
    </row>
    <row r="145" spans="3:6" x14ac:dyDescent="0.25">
      <c r="D145">
        <v>2044</v>
      </c>
      <c r="E145" t="s">
        <v>421</v>
      </c>
      <c r="F145" s="89">
        <f>'5.1 Bilan'!BG147</f>
        <v>455922.68</v>
      </c>
    </row>
    <row r="146" spans="3:6" x14ac:dyDescent="0.25">
      <c r="D146">
        <v>2045</v>
      </c>
      <c r="E146" t="s">
        <v>343</v>
      </c>
      <c r="F146" s="89">
        <f>'5.1 Bilan'!BG148</f>
        <v>86392.72</v>
      </c>
    </row>
    <row r="147" spans="3:6" x14ac:dyDescent="0.25">
      <c r="D147">
        <v>2046</v>
      </c>
      <c r="E147" t="s">
        <v>422</v>
      </c>
      <c r="F147" s="89">
        <f>'5.1 Bilan'!BG149</f>
        <v>465732.55</v>
      </c>
    </row>
    <row r="148" spans="3:6" x14ac:dyDescent="0.25">
      <c r="D148">
        <v>2049</v>
      </c>
      <c r="E148" t="s">
        <v>423</v>
      </c>
      <c r="F148" s="89">
        <f>'5.1 Bilan'!BG150</f>
        <v>12400.15</v>
      </c>
    </row>
    <row r="149" spans="3:6" x14ac:dyDescent="0.25">
      <c r="F149" s="80"/>
    </row>
    <row r="150" spans="3:6" x14ac:dyDescent="0.25">
      <c r="C150" s="83">
        <v>205</v>
      </c>
      <c r="D150" s="83"/>
      <c r="E150" s="83" t="s">
        <v>263</v>
      </c>
      <c r="F150" s="84">
        <f>'5.1 Bilan'!BG152</f>
        <v>1170286.3500000001</v>
      </c>
    </row>
    <row r="151" spans="3:6" x14ac:dyDescent="0.25">
      <c r="D151">
        <v>2050</v>
      </c>
      <c r="E151" t="s">
        <v>424</v>
      </c>
      <c r="F151" s="89">
        <f>'5.1 Bilan'!BG153</f>
        <v>796505.2</v>
      </c>
    </row>
    <row r="152" spans="3:6" x14ac:dyDescent="0.25">
      <c r="D152">
        <v>2051</v>
      </c>
      <c r="E152" t="s">
        <v>425</v>
      </c>
      <c r="F152" s="89">
        <f>'5.1 Bilan'!BG154</f>
        <v>0</v>
      </c>
    </row>
    <row r="153" spans="3:6" x14ac:dyDescent="0.25">
      <c r="D153">
        <v>2052</v>
      </c>
      <c r="E153" t="s">
        <v>426</v>
      </c>
      <c r="F153" s="89">
        <f>'5.1 Bilan'!BG155</f>
        <v>5000</v>
      </c>
    </row>
    <row r="154" spans="3:6" x14ac:dyDescent="0.25">
      <c r="D154">
        <v>2053</v>
      </c>
      <c r="E154" t="s">
        <v>430</v>
      </c>
      <c r="F154" s="89">
        <f>'5.1 Bilan'!BG156</f>
        <v>90763.32</v>
      </c>
    </row>
    <row r="155" spans="3:6" x14ac:dyDescent="0.25">
      <c r="D155">
        <v>2054</v>
      </c>
      <c r="E155" t="s">
        <v>428</v>
      </c>
      <c r="F155" s="89">
        <f>'5.1 Bilan'!BG157</f>
        <v>495.6</v>
      </c>
    </row>
    <row r="156" spans="3:6" x14ac:dyDescent="0.25">
      <c r="D156">
        <v>2055</v>
      </c>
      <c r="E156" t="s">
        <v>427</v>
      </c>
      <c r="F156" s="89">
        <f>'5.1 Bilan'!BG158</f>
        <v>176862.88</v>
      </c>
    </row>
    <row r="157" spans="3:6" x14ac:dyDescent="0.25">
      <c r="D157">
        <v>2056</v>
      </c>
      <c r="E157" t="s">
        <v>429</v>
      </c>
      <c r="F157" s="89">
        <f>'5.1 Bilan'!BG159</f>
        <v>0</v>
      </c>
    </row>
    <row r="158" spans="3:6" x14ac:dyDescent="0.25">
      <c r="D158">
        <v>2057</v>
      </c>
      <c r="E158" t="s">
        <v>431</v>
      </c>
      <c r="F158" s="89">
        <f>'5.1 Bilan'!BG160</f>
        <v>13968</v>
      </c>
    </row>
    <row r="159" spans="3:6" x14ac:dyDescent="0.25">
      <c r="D159">
        <v>2058</v>
      </c>
      <c r="E159" t="s">
        <v>432</v>
      </c>
      <c r="F159" s="89">
        <f>'5.1 Bilan'!BG161</f>
        <v>0</v>
      </c>
    </row>
    <row r="160" spans="3:6" x14ac:dyDescent="0.25">
      <c r="D160">
        <v>2059</v>
      </c>
      <c r="E160" t="s">
        <v>433</v>
      </c>
      <c r="F160" s="89">
        <f>'5.1 Bilan'!BG162</f>
        <v>86691.35</v>
      </c>
    </row>
    <row r="161" spans="3:6" x14ac:dyDescent="0.25">
      <c r="F161" s="80"/>
    </row>
    <row r="162" spans="3:6" x14ac:dyDescent="0.25">
      <c r="C162" s="83">
        <v>206</v>
      </c>
      <c r="D162" s="83"/>
      <c r="E162" s="83" t="s">
        <v>264</v>
      </c>
      <c r="F162" s="84">
        <f>'5.1 Bilan'!BG164</f>
        <v>432917677.81</v>
      </c>
    </row>
    <row r="163" spans="3:6" x14ac:dyDescent="0.25">
      <c r="D163">
        <v>2060</v>
      </c>
      <c r="E163" t="s">
        <v>434</v>
      </c>
      <c r="F163" s="89">
        <f>'5.1 Bilan'!BG165</f>
        <v>34749167.049999997</v>
      </c>
    </row>
    <row r="164" spans="3:6" x14ac:dyDescent="0.25">
      <c r="D164">
        <v>2062</v>
      </c>
      <c r="E164" t="s">
        <v>435</v>
      </c>
      <c r="F164" s="89">
        <f>'5.1 Bilan'!BG166</f>
        <v>0</v>
      </c>
    </row>
    <row r="165" spans="3:6" x14ac:dyDescent="0.25">
      <c r="D165">
        <v>2063</v>
      </c>
      <c r="E165" t="s">
        <v>436</v>
      </c>
      <c r="F165" s="89">
        <f>'5.1 Bilan'!BG167</f>
        <v>260040003.54999995</v>
      </c>
    </row>
    <row r="166" spans="3:6" x14ac:dyDescent="0.25">
      <c r="D166">
        <v>2064</v>
      </c>
      <c r="E166" t="s">
        <v>437</v>
      </c>
      <c r="F166" s="89">
        <f>'5.1 Bilan'!BG168</f>
        <v>139438197.00999999</v>
      </c>
    </row>
    <row r="167" spans="3:6" x14ac:dyDescent="0.25">
      <c r="D167">
        <v>2067</v>
      </c>
      <c r="E167" t="s">
        <v>438</v>
      </c>
      <c r="F167" s="89">
        <f>'5.1 Bilan'!BG169</f>
        <v>0</v>
      </c>
    </row>
    <row r="168" spans="3:6" x14ac:dyDescent="0.25">
      <c r="D168">
        <v>2069</v>
      </c>
      <c r="E168" t="s">
        <v>439</v>
      </c>
      <c r="F168" s="89">
        <f>'5.1 Bilan'!BG170</f>
        <v>-1309689.8</v>
      </c>
    </row>
    <row r="169" spans="3:6" x14ac:dyDescent="0.25">
      <c r="F169" s="80"/>
    </row>
    <row r="170" spans="3:6" x14ac:dyDescent="0.25">
      <c r="C170" s="83">
        <v>208</v>
      </c>
      <c r="D170" s="83"/>
      <c r="E170" s="83" t="s">
        <v>265</v>
      </c>
      <c r="F170" s="84">
        <f>'5.1 Bilan'!BG172</f>
        <v>6467363.7199999997</v>
      </c>
    </row>
    <row r="171" spans="3:6" x14ac:dyDescent="0.25">
      <c r="D171">
        <v>2081</v>
      </c>
      <c r="E171" t="s">
        <v>440</v>
      </c>
      <c r="F171" s="89">
        <f>'5.1 Bilan'!BG173</f>
        <v>0</v>
      </c>
    </row>
    <row r="172" spans="3:6" x14ac:dyDescent="0.25">
      <c r="D172">
        <v>2082</v>
      </c>
      <c r="E172" t="s">
        <v>441</v>
      </c>
      <c r="F172" s="89">
        <f>'5.1 Bilan'!BG174</f>
        <v>0</v>
      </c>
    </row>
    <row r="173" spans="3:6" x14ac:dyDescent="0.25">
      <c r="D173">
        <v>2083</v>
      </c>
      <c r="E173" t="s">
        <v>442</v>
      </c>
      <c r="F173" s="89">
        <f>'5.1 Bilan'!BG175</f>
        <v>10691.47</v>
      </c>
    </row>
    <row r="174" spans="3:6" x14ac:dyDescent="0.25">
      <c r="D174">
        <v>2084</v>
      </c>
      <c r="E174" t="s">
        <v>443</v>
      </c>
      <c r="F174" s="89">
        <f>'5.1 Bilan'!BG176</f>
        <v>0</v>
      </c>
    </row>
    <row r="175" spans="3:6" x14ac:dyDescent="0.25">
      <c r="D175">
        <v>2085</v>
      </c>
      <c r="E175" t="s">
        <v>445</v>
      </c>
      <c r="F175" s="89">
        <f>'5.1 Bilan'!BG177</f>
        <v>1989366.5</v>
      </c>
    </row>
    <row r="176" spans="3:6" x14ac:dyDescent="0.25">
      <c r="D176">
        <v>2086</v>
      </c>
      <c r="E176" t="s">
        <v>444</v>
      </c>
      <c r="F176" s="89">
        <f>'5.1 Bilan'!BG178</f>
        <v>0</v>
      </c>
    </row>
    <row r="177" spans="2:6" x14ac:dyDescent="0.25">
      <c r="D177">
        <v>2087</v>
      </c>
      <c r="E177" t="s">
        <v>446</v>
      </c>
      <c r="F177" s="89">
        <f>'5.1 Bilan'!BG179</f>
        <v>0</v>
      </c>
    </row>
    <row r="178" spans="2:6" x14ac:dyDescent="0.25">
      <c r="D178">
        <v>2088</v>
      </c>
      <c r="E178" t="s">
        <v>447</v>
      </c>
      <c r="F178" s="89">
        <f>'5.1 Bilan'!BG180</f>
        <v>0</v>
      </c>
    </row>
    <row r="179" spans="2:6" x14ac:dyDescent="0.25">
      <c r="D179">
        <v>2089</v>
      </c>
      <c r="E179" t="s">
        <v>448</v>
      </c>
      <c r="F179" s="89">
        <f>'5.1 Bilan'!BG181</f>
        <v>4467305.75</v>
      </c>
    </row>
    <row r="180" spans="2:6" x14ac:dyDescent="0.25">
      <c r="F180" s="80"/>
    </row>
    <row r="181" spans="2:6" x14ac:dyDescent="0.25">
      <c r="C181" s="83">
        <v>209</v>
      </c>
      <c r="D181" s="83"/>
      <c r="E181" s="83" t="s">
        <v>266</v>
      </c>
      <c r="F181" s="84">
        <f>'5.1 Bilan'!BG183</f>
        <v>9258282.5</v>
      </c>
    </row>
    <row r="182" spans="2:6" x14ac:dyDescent="0.25">
      <c r="D182">
        <v>2090</v>
      </c>
      <c r="E182" t="s">
        <v>266</v>
      </c>
      <c r="F182" s="89">
        <f>'5.1 Bilan'!BG184</f>
        <v>1108475.05</v>
      </c>
    </row>
    <row r="183" spans="2:6" x14ac:dyDescent="0.25">
      <c r="D183">
        <v>2091</v>
      </c>
      <c r="E183" t="s">
        <v>449</v>
      </c>
      <c r="F183" s="89">
        <f>'5.1 Bilan'!BG185</f>
        <v>8098847.1500000004</v>
      </c>
    </row>
    <row r="184" spans="2:6" x14ac:dyDescent="0.25">
      <c r="D184">
        <v>2092</v>
      </c>
      <c r="E184" t="s">
        <v>450</v>
      </c>
      <c r="F184" s="89">
        <f>'5.1 Bilan'!BG186</f>
        <v>900</v>
      </c>
    </row>
    <row r="185" spans="2:6" x14ac:dyDescent="0.25">
      <c r="D185">
        <v>2093</v>
      </c>
      <c r="E185" t="s">
        <v>451</v>
      </c>
      <c r="F185" s="89">
        <f>'5.1 Bilan'!BG187</f>
        <v>50060.3</v>
      </c>
    </row>
    <row r="186" spans="2:6" x14ac:dyDescent="0.25">
      <c r="F186" s="80"/>
    </row>
    <row r="187" spans="2:6" x14ac:dyDescent="0.25">
      <c r="B187" s="85">
        <v>29</v>
      </c>
      <c r="C187" s="85"/>
      <c r="D187" s="85"/>
      <c r="E187" s="85" t="s">
        <v>267</v>
      </c>
      <c r="F187" s="86">
        <f>'5.1 Bilan'!BG189</f>
        <v>240440427.36000007</v>
      </c>
    </row>
    <row r="188" spans="2:6" x14ac:dyDescent="0.25">
      <c r="C188" s="83">
        <v>290</v>
      </c>
      <c r="D188" s="83"/>
      <c r="E188" s="83" t="s">
        <v>268</v>
      </c>
      <c r="F188" s="84">
        <f>'5.1 Bilan'!BG190</f>
        <v>91838538.320000038</v>
      </c>
    </row>
    <row r="189" spans="2:6" x14ac:dyDescent="0.25">
      <c r="D189">
        <v>2900</v>
      </c>
      <c r="E189" t="s">
        <v>268</v>
      </c>
      <c r="F189" s="89">
        <f>'5.1 Bilan'!BG191</f>
        <v>91838538.320000038</v>
      </c>
    </row>
    <row r="190" spans="2:6" x14ac:dyDescent="0.25">
      <c r="F190" s="80"/>
    </row>
    <row r="191" spans="2:6" x14ac:dyDescent="0.25">
      <c r="C191" s="83">
        <v>291</v>
      </c>
      <c r="D191" s="83"/>
      <c r="E191" s="83" t="s">
        <v>269</v>
      </c>
      <c r="F191" s="84">
        <f>'5.1 Bilan'!BG193</f>
        <v>5824194.0499999998</v>
      </c>
    </row>
    <row r="192" spans="2:6" x14ac:dyDescent="0.25">
      <c r="D192">
        <v>2910</v>
      </c>
      <c r="E192" t="s">
        <v>269</v>
      </c>
      <c r="F192" s="89">
        <f>'5.1 Bilan'!BG194</f>
        <v>5554469.2399999993</v>
      </c>
    </row>
    <row r="193" spans="3:6" x14ac:dyDescent="0.25">
      <c r="D193">
        <v>2911</v>
      </c>
      <c r="E193" t="s">
        <v>452</v>
      </c>
      <c r="F193" s="89">
        <f>'5.1 Bilan'!BG195</f>
        <v>269724.81</v>
      </c>
    </row>
    <row r="194" spans="3:6" x14ac:dyDescent="0.25">
      <c r="F194" s="80"/>
    </row>
    <row r="195" spans="3:6" x14ac:dyDescent="0.25">
      <c r="C195" s="83">
        <v>292</v>
      </c>
      <c r="D195" s="83"/>
      <c r="E195" s="83" t="s">
        <v>270</v>
      </c>
      <c r="F195" s="84">
        <f>'5.1 Bilan'!BG197</f>
        <v>2171523.7999999998</v>
      </c>
    </row>
    <row r="196" spans="3:6" x14ac:dyDescent="0.25">
      <c r="D196">
        <v>2920</v>
      </c>
      <c r="E196" t="s">
        <v>270</v>
      </c>
      <c r="F196" s="89">
        <f>'5.1 Bilan'!BG198</f>
        <v>2171523.7999999998</v>
      </c>
    </row>
    <row r="197" spans="3:6" x14ac:dyDescent="0.25">
      <c r="F197" s="80"/>
    </row>
    <row r="198" spans="3:6" x14ac:dyDescent="0.25">
      <c r="C198" s="83">
        <v>293</v>
      </c>
      <c r="D198" s="83"/>
      <c r="E198" s="83" t="s">
        <v>271</v>
      </c>
      <c r="F198" s="84">
        <f>'5.1 Bilan'!BG200</f>
        <v>5019487.7799999993</v>
      </c>
    </row>
    <row r="199" spans="3:6" x14ac:dyDescent="0.25">
      <c r="D199">
        <v>2930</v>
      </c>
      <c r="E199" t="s">
        <v>271</v>
      </c>
      <c r="F199" s="89">
        <f>'5.1 Bilan'!BG201</f>
        <v>5019487.7799999993</v>
      </c>
    </row>
    <row r="200" spans="3:6" x14ac:dyDescent="0.25">
      <c r="F200" s="80"/>
    </row>
    <row r="201" spans="3:6" x14ac:dyDescent="0.25">
      <c r="C201" s="83">
        <v>294</v>
      </c>
      <c r="D201" s="83"/>
      <c r="E201" s="83" t="s">
        <v>272</v>
      </c>
      <c r="F201" s="84">
        <f>'5.1 Bilan'!BG203</f>
        <v>31038418.739999998</v>
      </c>
    </row>
    <row r="202" spans="3:6" x14ac:dyDescent="0.25">
      <c r="D202">
        <v>2940</v>
      </c>
      <c r="E202" t="s">
        <v>272</v>
      </c>
      <c r="F202" s="89">
        <f>'5.1 Bilan'!BG204</f>
        <v>31038418.739999998</v>
      </c>
    </row>
    <row r="203" spans="3:6" x14ac:dyDescent="0.25">
      <c r="F203" s="80"/>
    </row>
    <row r="204" spans="3:6" x14ac:dyDescent="0.25">
      <c r="C204" s="83">
        <v>295</v>
      </c>
      <c r="D204" s="83"/>
      <c r="E204" s="83" t="s">
        <v>273</v>
      </c>
      <c r="F204" s="84">
        <f>'5.1 Bilan'!BG206</f>
        <v>96130.319999999992</v>
      </c>
    </row>
    <row r="205" spans="3:6" x14ac:dyDescent="0.25">
      <c r="D205">
        <v>2950</v>
      </c>
      <c r="E205" t="s">
        <v>273</v>
      </c>
      <c r="F205" s="89">
        <f>'5.1 Bilan'!BG207</f>
        <v>96130.319999999992</v>
      </c>
    </row>
    <row r="206" spans="3:6" x14ac:dyDescent="0.25">
      <c r="F206" s="80"/>
    </row>
    <row r="207" spans="3:6" x14ac:dyDescent="0.25">
      <c r="C207" s="83">
        <v>296</v>
      </c>
      <c r="D207" s="83"/>
      <c r="E207" s="83" t="s">
        <v>274</v>
      </c>
      <c r="F207" s="84">
        <f>'5.1 Bilan'!BG209</f>
        <v>16454611.33</v>
      </c>
    </row>
    <row r="208" spans="3:6" x14ac:dyDescent="0.25">
      <c r="D208">
        <v>2960</v>
      </c>
      <c r="E208" t="s">
        <v>274</v>
      </c>
      <c r="F208" s="89">
        <f>'5.1 Bilan'!BG210</f>
        <v>16454611.33</v>
      </c>
    </row>
    <row r="209" spans="3:6" x14ac:dyDescent="0.25">
      <c r="F209" s="80"/>
    </row>
    <row r="210" spans="3:6" x14ac:dyDescent="0.25">
      <c r="C210" s="83">
        <v>298</v>
      </c>
      <c r="D210" s="83"/>
      <c r="E210" s="83" t="s">
        <v>275</v>
      </c>
      <c r="F210" s="84">
        <f>'5.1 Bilan'!BG212</f>
        <v>146786.6</v>
      </c>
    </row>
    <row r="211" spans="3:6" x14ac:dyDescent="0.25">
      <c r="D211">
        <v>2980</v>
      </c>
      <c r="E211" t="s">
        <v>275</v>
      </c>
      <c r="F211" s="89">
        <f>'5.1 Bilan'!BG213</f>
        <v>146786.6</v>
      </c>
    </row>
    <row r="212" spans="3:6" x14ac:dyDescent="0.25">
      <c r="F212" s="80"/>
    </row>
    <row r="213" spans="3:6" x14ac:dyDescent="0.25">
      <c r="C213" s="83">
        <v>299</v>
      </c>
      <c r="D213" s="83"/>
      <c r="E213" s="83" t="s">
        <v>453</v>
      </c>
      <c r="F213" s="84">
        <f>'5.1 Bilan'!BG215</f>
        <v>87850736.420000032</v>
      </c>
    </row>
    <row r="214" spans="3:6" x14ac:dyDescent="0.25">
      <c r="D214">
        <v>2990</v>
      </c>
      <c r="E214" t="s">
        <v>453</v>
      </c>
      <c r="F214" s="80">
        <f>'5.1 Bilan'!BG216</f>
        <v>2257613.4299999992</v>
      </c>
    </row>
    <row r="215" spans="3:6" x14ac:dyDescent="0.25">
      <c r="D215">
        <v>2999</v>
      </c>
      <c r="E215" t="s">
        <v>454</v>
      </c>
      <c r="F215" s="80">
        <f>'5.1 Bilan'!BG217</f>
        <v>85593122.990000024</v>
      </c>
    </row>
    <row r="216" spans="3:6" x14ac:dyDescent="0.25">
      <c r="F216" s="80"/>
    </row>
    <row r="217" spans="3:6" x14ac:dyDescent="0.25">
      <c r="F217" s="80"/>
    </row>
    <row r="218" spans="3:6" x14ac:dyDescent="0.25">
      <c r="F218" s="80"/>
    </row>
    <row r="219" spans="3:6" x14ac:dyDescent="0.25">
      <c r="E219" s="60" t="s">
        <v>68</v>
      </c>
      <c r="F219" s="208">
        <f>'5.1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3" sqref="M3"/>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'5.2 Tableau bilan'!F188</f>
        <v>91838538.320000038</v>
      </c>
    </row>
    <row r="3" spans="2:5" x14ac:dyDescent="0.25">
      <c r="B3" s="78">
        <v>291</v>
      </c>
      <c r="C3" s="78"/>
      <c r="D3" s="135" t="s">
        <v>269</v>
      </c>
      <c r="E3" s="89">
        <f>'5.2 Tableau bilan'!F191</f>
        <v>5824194.0499999998</v>
      </c>
    </row>
    <row r="4" spans="2:5" x14ac:dyDescent="0.25">
      <c r="B4" s="78">
        <v>292</v>
      </c>
      <c r="C4" s="78"/>
      <c r="D4" s="135" t="s">
        <v>270</v>
      </c>
      <c r="E4" s="89">
        <f>'5.2 Tableau bilan'!F195</f>
        <v>2171523.7999999998</v>
      </c>
    </row>
    <row r="5" spans="2:5" x14ac:dyDescent="0.25">
      <c r="B5" s="78">
        <v>293</v>
      </c>
      <c r="C5" s="78"/>
      <c r="D5" s="135" t="s">
        <v>271</v>
      </c>
      <c r="E5" s="89">
        <f>'5.2 Tableau bilan'!F198</f>
        <v>5019487.7799999993</v>
      </c>
    </row>
    <row r="6" spans="2:5" x14ac:dyDescent="0.25">
      <c r="B6" s="78">
        <v>294</v>
      </c>
      <c r="C6" s="78"/>
      <c r="D6" s="135" t="s">
        <v>272</v>
      </c>
      <c r="E6" s="89">
        <f>'5.2 Tableau bilan'!F201</f>
        <v>31038418.739999998</v>
      </c>
    </row>
    <row r="7" spans="2:5" x14ac:dyDescent="0.25">
      <c r="B7" s="78">
        <v>295</v>
      </c>
      <c r="C7" s="78"/>
      <c r="D7" s="135" t="s">
        <v>273</v>
      </c>
      <c r="E7" s="89">
        <f>'5.2 Tableau bilan'!F204</f>
        <v>96130.319999999992</v>
      </c>
    </row>
    <row r="8" spans="2:5" x14ac:dyDescent="0.25">
      <c r="B8" s="78">
        <v>296</v>
      </c>
      <c r="C8" s="78"/>
      <c r="D8" s="135" t="s">
        <v>274</v>
      </c>
      <c r="E8" s="89">
        <f>'5.2 Tableau bilan'!F207</f>
        <v>16454611.33</v>
      </c>
    </row>
    <row r="9" spans="2:5" x14ac:dyDescent="0.25">
      <c r="B9" s="78">
        <v>298</v>
      </c>
      <c r="C9" s="78"/>
      <c r="D9" s="135" t="s">
        <v>275</v>
      </c>
      <c r="E9" s="89">
        <f>'5.2 Tableau bilan'!F210</f>
        <v>146786.6</v>
      </c>
    </row>
    <row r="10" spans="2:5" x14ac:dyDescent="0.25">
      <c r="B10" s="78">
        <v>299</v>
      </c>
      <c r="C10" s="78"/>
      <c r="D10" s="135"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tabSelected="1" workbookViewId="0">
      <pane xSplit="2" ySplit="6" topLeftCell="AV7" activePane="bottomRight" state="frozen"/>
      <selection pane="topRight" activeCell="C1" sqref="C1"/>
      <selection pane="bottomLeft" activeCell="A7" sqref="A7"/>
      <selection pane="bottomRight" activeCell="BJ19" sqref="BJ19"/>
    </sheetView>
  </sheetViews>
  <sheetFormatPr baseColWidth="10" defaultRowHeight="15" x14ac:dyDescent="0.25"/>
  <cols>
    <col min="1" max="1" width="5.7109375" customWidth="1"/>
    <col min="2" max="2" width="50.28515625" customWidth="1"/>
    <col min="3" max="55" width="16.28515625" hidden="1" customWidth="1"/>
    <col min="56"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'5.1 Bilan'!F5</f>
        <v>6025500.6899999995</v>
      </c>
      <c r="D7" s="101">
        <f>'5.1 Bilan'!G5</f>
        <v>1369739.14</v>
      </c>
      <c r="E7" s="101">
        <f>'5.1 Bilan'!H5</f>
        <v>4309212.78</v>
      </c>
      <c r="F7" s="101">
        <f>'5.1 Bilan'!I5</f>
        <v>4657259.62</v>
      </c>
      <c r="G7" s="101">
        <f>'5.1 Bilan'!J5</f>
        <v>15173301.85</v>
      </c>
      <c r="H7" s="101">
        <f>'5.1 Bilan'!K5</f>
        <v>8929891.379999999</v>
      </c>
      <c r="I7" s="101">
        <f>'5.1 Bilan'!L5</f>
        <v>10459838.139999999</v>
      </c>
      <c r="J7" s="101">
        <f>'5.1 Bilan'!M5</f>
        <v>48329637.409999996</v>
      </c>
      <c r="K7" s="101">
        <f>'5.1 Bilan'!N5</f>
        <v>4231787.96</v>
      </c>
      <c r="L7" s="101">
        <f>'5.1 Bilan'!O5</f>
        <v>401366.44</v>
      </c>
      <c r="M7" s="101">
        <f>'5.1 Bilan'!P5</f>
        <v>19270794.450000003</v>
      </c>
      <c r="N7" s="101">
        <f>'5.1 Bilan'!Q5</f>
        <v>2306934.9900000002</v>
      </c>
      <c r="O7" s="101">
        <f>'5.1 Bilan'!R5</f>
        <v>340332.25000000006</v>
      </c>
      <c r="P7" s="101">
        <f>'5.1 Bilan'!S5</f>
        <v>1454184.04</v>
      </c>
      <c r="Q7" s="101">
        <f>'5.1 Bilan'!T5</f>
        <v>2240322.35</v>
      </c>
      <c r="R7" s="101">
        <f>'5.1 Bilan'!U5</f>
        <v>5578034.3599999994</v>
      </c>
      <c r="S7" s="101">
        <f>'5.1 Bilan'!V5</f>
        <v>797906.42</v>
      </c>
      <c r="T7" s="101">
        <f>'5.1 Bilan'!W5</f>
        <v>2606499.7699999996</v>
      </c>
      <c r="U7" s="101">
        <f>'5.1 Bilan'!X5</f>
        <v>5690503.7400000002</v>
      </c>
      <c r="V7" s="101">
        <f>'5.1 Bilan'!Y5</f>
        <v>1782334.11</v>
      </c>
      <c r="W7" s="101">
        <f>'5.1 Bilan'!Z5</f>
        <v>4607305.3099999996</v>
      </c>
      <c r="X7" s="101">
        <f>'5.1 Bilan'!AA5</f>
        <v>22682781.649999999</v>
      </c>
      <c r="Y7" s="101">
        <f>'5.1 Bilan'!AB5</f>
        <v>514539.83999999997</v>
      </c>
      <c r="Z7" s="101">
        <f>'5.1 Bilan'!AC5</f>
        <v>1718422.2500000002</v>
      </c>
      <c r="AA7" s="101">
        <f>'5.1 Bilan'!AD5</f>
        <v>3153746.6100000003</v>
      </c>
      <c r="AB7" s="101">
        <f>'5.1 Bilan'!AE5</f>
        <v>3204642.4699999997</v>
      </c>
      <c r="AC7" s="101">
        <f>'5.1 Bilan'!AF5</f>
        <v>2898436.0999999996</v>
      </c>
      <c r="AD7" s="101">
        <f>'5.1 Bilan'!AG5</f>
        <v>4936104.3499999996</v>
      </c>
      <c r="AE7" s="101">
        <f>'5.1 Bilan'!AH5</f>
        <v>9508703.8300000001</v>
      </c>
      <c r="AF7" s="101">
        <f>'5.1 Bilan'!AI5</f>
        <v>10854436.879999999</v>
      </c>
      <c r="AG7" s="101">
        <f>'5.1 Bilan'!AJ5</f>
        <v>1895624.56</v>
      </c>
      <c r="AH7" s="101">
        <f>'5.1 Bilan'!AK5</f>
        <v>2296499.59</v>
      </c>
      <c r="AI7" s="101">
        <f>'5.1 Bilan'!AL5</f>
        <v>5395628.6899999995</v>
      </c>
      <c r="AJ7" s="101">
        <f>'5.1 Bilan'!AM5</f>
        <v>5311232.7699999996</v>
      </c>
      <c r="AK7" s="101">
        <f>'5.1 Bilan'!AN5</f>
        <v>5192149.76</v>
      </c>
      <c r="AL7" s="101">
        <f>'5.1 Bilan'!AO5</f>
        <v>945916.81999999983</v>
      </c>
      <c r="AM7" s="101">
        <f>'5.1 Bilan'!AP5</f>
        <v>14951876.23</v>
      </c>
      <c r="AN7" s="101">
        <f>'5.1 Bilan'!AQ5</f>
        <v>4059251.8099999996</v>
      </c>
      <c r="AO7" s="101">
        <f>'5.1 Bilan'!AR5</f>
        <v>3653483.9</v>
      </c>
      <c r="AP7" s="101">
        <f>'5.1 Bilan'!AS5</f>
        <v>12084593.449999999</v>
      </c>
      <c r="AQ7" s="101">
        <f>'5.1 Bilan'!AT5</f>
        <v>2583134</v>
      </c>
      <c r="AR7" s="101">
        <f>'5.1 Bilan'!AU5</f>
        <v>4268060.6800000006</v>
      </c>
      <c r="AS7" s="101">
        <f>'5.1 Bilan'!AV5</f>
        <v>3818782.6800000006</v>
      </c>
      <c r="AT7" s="101">
        <f>'5.1 Bilan'!AW5</f>
        <v>6505495.3100000005</v>
      </c>
      <c r="AU7" s="101">
        <f>'5.1 Bilan'!AX5</f>
        <v>3077294.9799999995</v>
      </c>
      <c r="AV7" s="101">
        <f>'5.1 Bilan'!AY5</f>
        <v>678851.45</v>
      </c>
      <c r="AW7" s="101">
        <f>'5.1 Bilan'!AZ5</f>
        <v>2359237.4</v>
      </c>
      <c r="AX7" s="101">
        <f>'5.1 Bilan'!BA5</f>
        <v>4869007.3099999996</v>
      </c>
      <c r="AY7" s="101">
        <f>'5.1 Bilan'!BB5</f>
        <v>3035892.37</v>
      </c>
      <c r="AZ7" s="101">
        <f>'5.1 Bilan'!BC5</f>
        <v>4691561.72</v>
      </c>
      <c r="BA7" s="101">
        <f>'5.1 Bilan'!BD5</f>
        <v>866228.97</v>
      </c>
      <c r="BB7" s="101">
        <f>'5.1 Bilan'!BE5</f>
        <v>30853239.349999994</v>
      </c>
      <c r="BC7" s="101">
        <f>'5.1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'5.1 Bilan'!F121</f>
        <v>9136260.5199999996</v>
      </c>
      <c r="D9" s="101">
        <f>'5.1 Bilan'!G121</f>
        <v>2523210.25</v>
      </c>
      <c r="E9" s="101">
        <f>'5.1 Bilan'!H121</f>
        <v>6461558.5199999996</v>
      </c>
      <c r="F9" s="101">
        <f>'5.1 Bilan'!I121</f>
        <v>4936358.18</v>
      </c>
      <c r="G9" s="101">
        <f>'5.1 Bilan'!J121</f>
        <v>26343468.57</v>
      </c>
      <c r="H9" s="101">
        <f>'5.1 Bilan'!K121</f>
        <v>25837679.66</v>
      </c>
      <c r="I9" s="101">
        <f>'5.1 Bilan'!L121</f>
        <v>11484688.109999999</v>
      </c>
      <c r="J9" s="101">
        <f>'5.1 Bilan'!M121</f>
        <v>139191397.21999997</v>
      </c>
      <c r="K9" s="101">
        <f>'5.1 Bilan'!N121</f>
        <v>7307071.8300000001</v>
      </c>
      <c r="L9" s="101">
        <f>'5.1 Bilan'!O121</f>
        <v>862038.84000000008</v>
      </c>
      <c r="M9" s="155">
        <f>'5.1 Bilan'!P121</f>
        <v>46214165.719999999</v>
      </c>
      <c r="N9" s="101">
        <f>'5.1 Bilan'!Q121</f>
        <v>3674228.8800000004</v>
      </c>
      <c r="O9" s="101">
        <f>'5.1 Bilan'!R121</f>
        <v>585366.75</v>
      </c>
      <c r="P9" s="101">
        <f>'5.1 Bilan'!S121</f>
        <v>3329882.66</v>
      </c>
      <c r="Q9" s="101">
        <f>'5.1 Bilan'!T121</f>
        <v>4328768.28</v>
      </c>
      <c r="R9" s="101">
        <f>'5.1 Bilan'!U121</f>
        <v>5783474.6900000004</v>
      </c>
      <c r="S9" s="101">
        <f>'5.1 Bilan'!V121</f>
        <v>1064577.6300000001</v>
      </c>
      <c r="T9" s="101">
        <f>'5.1 Bilan'!W121</f>
        <v>4351613.58</v>
      </c>
      <c r="U9" s="101">
        <f>'5.1 Bilan'!X121</f>
        <v>16521169.08</v>
      </c>
      <c r="V9" s="101">
        <f>'5.1 Bilan'!Y121</f>
        <v>701823.61</v>
      </c>
      <c r="W9" s="101">
        <f>'5.1 Bilan'!Z121</f>
        <v>12393883.23</v>
      </c>
      <c r="X9" s="101">
        <f>'5.1 Bilan'!AA121</f>
        <v>13352559.84</v>
      </c>
      <c r="Y9" s="101">
        <f>'5.1 Bilan'!AB121</f>
        <v>650530.85</v>
      </c>
      <c r="Z9" s="101">
        <f>'5.1 Bilan'!AC121</f>
        <v>1324155.57</v>
      </c>
      <c r="AA9" s="101">
        <f>'5.1 Bilan'!AD121</f>
        <v>3949290.9899999998</v>
      </c>
      <c r="AB9" s="101">
        <f>'5.1 Bilan'!AE121</f>
        <v>8603148.8800000008</v>
      </c>
      <c r="AC9" s="101">
        <f>'5.1 Bilan'!AF121</f>
        <v>4184157.13</v>
      </c>
      <c r="AD9" s="101">
        <f>'5.1 Bilan'!AG121</f>
        <v>1835141.4</v>
      </c>
      <c r="AE9" s="101">
        <f>'5.1 Bilan'!AH121</f>
        <v>8867147.3900000006</v>
      </c>
      <c r="AF9" s="101">
        <f>'5.1 Bilan'!AI121</f>
        <v>21041584.219999999</v>
      </c>
      <c r="AG9" s="101">
        <f>'5.1 Bilan'!AJ121</f>
        <v>1776842.86</v>
      </c>
      <c r="AH9" s="101">
        <f>'5.1 Bilan'!AK121</f>
        <v>1181704</v>
      </c>
      <c r="AI9" s="101">
        <f>'5.1 Bilan'!AL121</f>
        <v>17629904.52</v>
      </c>
      <c r="AJ9" s="101">
        <f>'5.1 Bilan'!AM121</f>
        <v>10327486.98</v>
      </c>
      <c r="AK9" s="101">
        <f>'5.1 Bilan'!AN121</f>
        <v>11723916.060000002</v>
      </c>
      <c r="AL9" s="101">
        <f>'5.1 Bilan'!AO121</f>
        <v>2118226.58</v>
      </c>
      <c r="AM9" s="101">
        <f>'5.1 Bilan'!AP121</f>
        <v>11108782.970000001</v>
      </c>
      <c r="AN9" s="101">
        <f>'5.1 Bilan'!AQ121</f>
        <v>5278048.49</v>
      </c>
      <c r="AO9" s="101">
        <f>'5.1 Bilan'!AR121</f>
        <v>4581585.83</v>
      </c>
      <c r="AP9" s="101">
        <f>'5.1 Bilan'!AS121</f>
        <v>10511435.380000001</v>
      </c>
      <c r="AQ9" s="101">
        <f>'5.1 Bilan'!AT121</f>
        <v>5932741.29</v>
      </c>
      <c r="AR9" s="101">
        <f>'5.1 Bilan'!AU121</f>
        <v>8541645.5500000007</v>
      </c>
      <c r="AS9" s="101">
        <f>'5.1 Bilan'!AV121</f>
        <v>2009618.6500000001</v>
      </c>
      <c r="AT9" s="101">
        <f>'5.1 Bilan'!AW121</f>
        <v>14597972.57</v>
      </c>
      <c r="AU9" s="101">
        <f>'5.1 Bilan'!AX121</f>
        <v>6019600.25</v>
      </c>
      <c r="AV9" s="101">
        <f>'5.1 Bilan'!AY121</f>
        <v>982153.85</v>
      </c>
      <c r="AW9" s="101">
        <f>'5.1 Bilan'!AZ121</f>
        <v>2330422.44</v>
      </c>
      <c r="AX9" s="101">
        <f>'5.1 Bilan'!BA121</f>
        <v>21035834.379999999</v>
      </c>
      <c r="AY9" s="101">
        <f>'5.1 Bilan'!BB121</f>
        <v>1750180.59</v>
      </c>
      <c r="AZ9" s="101">
        <f>'5.1 Bilan'!BC121</f>
        <v>10648246.140000001</v>
      </c>
      <c r="BA9" s="101">
        <f>'5.1 Bilan'!BD121</f>
        <v>295678.96000000002</v>
      </c>
      <c r="BB9" s="101">
        <f>'5.1 Bilan'!BE121</f>
        <v>69383333.870000005</v>
      </c>
      <c r="BC9" s="101">
        <f>'5.1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'5.1 Bilan'!F122</f>
        <v>3771.65</v>
      </c>
      <c r="D11" s="101">
        <f>'5.1 Bilan'!G122</f>
        <v>44599</v>
      </c>
      <c r="E11" s="101">
        <f>'5.1 Bilan'!H122</f>
        <v>112759.55</v>
      </c>
      <c r="F11" s="101">
        <f>'5.1 Bilan'!I122</f>
        <v>235227.35</v>
      </c>
      <c r="G11" s="101">
        <f>'5.1 Bilan'!J122</f>
        <v>600201.06999999995</v>
      </c>
      <c r="H11" s="101">
        <f>'5.1 Bilan'!K122</f>
        <v>1247071.52</v>
      </c>
      <c r="I11" s="101">
        <f>'5.1 Bilan'!L122</f>
        <v>201552.2</v>
      </c>
      <c r="J11" s="101">
        <f>'5.1 Bilan'!M122</f>
        <v>9604614.6600000001</v>
      </c>
      <c r="K11" s="101">
        <f>'5.1 Bilan'!N122</f>
        <v>409615.93</v>
      </c>
      <c r="L11" s="101">
        <f>'5.1 Bilan'!O122</f>
        <v>0</v>
      </c>
      <c r="M11" s="101">
        <f>'5.1 Bilan'!P122</f>
        <v>1453277.2199999997</v>
      </c>
      <c r="N11" s="101">
        <f>'5.1 Bilan'!Q122</f>
        <v>97190.07</v>
      </c>
      <c r="O11" s="101">
        <f>'5.1 Bilan'!R122</f>
        <v>25537.75</v>
      </c>
      <c r="P11" s="101">
        <f>'5.1 Bilan'!S122</f>
        <v>266808.40999999997</v>
      </c>
      <c r="Q11" s="101">
        <f>'5.1 Bilan'!T122</f>
        <v>563608.91</v>
      </c>
      <c r="R11" s="101">
        <f>'5.1 Bilan'!U122</f>
        <v>394276.37</v>
      </c>
      <c r="S11" s="101">
        <f>'5.1 Bilan'!V122</f>
        <v>213190.62</v>
      </c>
      <c r="T11" s="101">
        <f>'5.1 Bilan'!W122</f>
        <v>221716.44999999998</v>
      </c>
      <c r="U11" s="101">
        <f>'5.1 Bilan'!X122</f>
        <v>2071297.1199999999</v>
      </c>
      <c r="V11" s="101">
        <f>'5.1 Bilan'!Y122</f>
        <v>0</v>
      </c>
      <c r="W11" s="101">
        <f>'5.1 Bilan'!Z122</f>
        <v>8866789.9800000004</v>
      </c>
      <c r="X11" s="101">
        <f>'5.1 Bilan'!AA122</f>
        <v>3389024.96</v>
      </c>
      <c r="Y11" s="101">
        <f>'5.1 Bilan'!AB122</f>
        <v>33957.25</v>
      </c>
      <c r="Z11" s="101">
        <f>'5.1 Bilan'!AC122</f>
        <v>31444.129999999997</v>
      </c>
      <c r="AA11" s="101">
        <f>'5.1 Bilan'!AD122</f>
        <v>287157.11</v>
      </c>
      <c r="AB11" s="101">
        <f>'5.1 Bilan'!AE122</f>
        <v>667667.15</v>
      </c>
      <c r="AC11" s="101">
        <f>'5.1 Bilan'!AF122</f>
        <v>0</v>
      </c>
      <c r="AD11" s="101">
        <f>'5.1 Bilan'!AG122</f>
        <v>163650.84999999998</v>
      </c>
      <c r="AE11" s="101">
        <f>'5.1 Bilan'!AH122</f>
        <v>1264494.6400000001</v>
      </c>
      <c r="AF11" s="101">
        <f>'5.1 Bilan'!AI122</f>
        <v>283596.94999999995</v>
      </c>
      <c r="AG11" s="101">
        <f>'5.1 Bilan'!AJ122</f>
        <v>613599.80000000005</v>
      </c>
      <c r="AH11" s="101">
        <f>'5.1 Bilan'!AK122</f>
        <v>43246.05</v>
      </c>
      <c r="AI11" s="101">
        <f>'5.1 Bilan'!AL122</f>
        <v>341959.9</v>
      </c>
      <c r="AJ11" s="101">
        <f>'5.1 Bilan'!AM122</f>
        <v>16414.79</v>
      </c>
      <c r="AK11" s="101">
        <f>'5.1 Bilan'!AN122</f>
        <v>228127.4</v>
      </c>
      <c r="AL11" s="101">
        <f>'5.1 Bilan'!AO122</f>
        <v>30726.94</v>
      </c>
      <c r="AM11" s="101">
        <f>'5.1 Bilan'!AP122</f>
        <v>1175364.1000000001</v>
      </c>
      <c r="AN11" s="101">
        <f>'5.1 Bilan'!AQ122</f>
        <v>422314.19</v>
      </c>
      <c r="AO11" s="101">
        <f>'5.1 Bilan'!AR122</f>
        <v>135767.88</v>
      </c>
      <c r="AP11" s="101">
        <f>'5.1 Bilan'!AS122</f>
        <v>322954.8</v>
      </c>
      <c r="AQ11" s="101">
        <f>'5.1 Bilan'!AT122</f>
        <v>362403.69</v>
      </c>
      <c r="AR11" s="101">
        <f>'5.1 Bilan'!AU122</f>
        <v>315891.65999999997</v>
      </c>
      <c r="AS11" s="101">
        <f>'5.1 Bilan'!AV122</f>
        <v>47182.1</v>
      </c>
      <c r="AT11" s="101">
        <f>'5.1 Bilan'!AW122</f>
        <v>526840.46</v>
      </c>
      <c r="AU11" s="101">
        <f>'5.1 Bilan'!AX122</f>
        <v>125306.3</v>
      </c>
      <c r="AV11" s="101">
        <f>'5.1 Bilan'!AY122</f>
        <v>18759.349999999999</v>
      </c>
      <c r="AW11" s="101">
        <f>'5.1 Bilan'!AZ122</f>
        <v>158646.04999999999</v>
      </c>
      <c r="AX11" s="101">
        <f>'5.1 Bilan'!BA122</f>
        <v>1392297.75</v>
      </c>
      <c r="AY11" s="101">
        <f>'5.1 Bilan'!BB122</f>
        <v>34063.440000000002</v>
      </c>
      <c r="AZ11" s="101">
        <f>'5.1 Bilan'!BC122</f>
        <v>1010318.05</v>
      </c>
      <c r="BA11" s="101">
        <f>'5.1 Bilan'!BD122</f>
        <v>57543.880000000005</v>
      </c>
      <c r="BB11" s="101">
        <f>'5.1 Bilan'!BE122</f>
        <v>2286095.0300000003</v>
      </c>
      <c r="BC11" s="101">
        <f>'5.1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'5.1 Bilan'!F132</f>
        <v>3909040.7600000002</v>
      </c>
      <c r="D13" s="101">
        <f>'5.1 Bilan'!G132</f>
        <v>112700</v>
      </c>
      <c r="E13" s="101">
        <f>'5.1 Bilan'!H132</f>
        <v>180090.75</v>
      </c>
      <c r="F13" s="101">
        <f>'5.1 Bilan'!I132</f>
        <v>352998.32999999996</v>
      </c>
      <c r="G13" s="101">
        <f>'5.1 Bilan'!J132</f>
        <v>4511771.7</v>
      </c>
      <c r="H13" s="101">
        <f>'5.1 Bilan'!K132</f>
        <v>5916914</v>
      </c>
      <c r="I13" s="101">
        <f>'5.1 Bilan'!L132</f>
        <v>0</v>
      </c>
      <c r="J13" s="101">
        <f>'5.1 Bilan'!M132</f>
        <v>49004578.5</v>
      </c>
      <c r="K13" s="101">
        <f>'5.1 Bilan'!N132</f>
        <v>267000</v>
      </c>
      <c r="L13" s="101">
        <f>'5.1 Bilan'!O132</f>
        <v>0</v>
      </c>
      <c r="M13" s="101">
        <f>'5.1 Bilan'!P132</f>
        <v>12857311.639999999</v>
      </c>
      <c r="N13" s="101">
        <f>'5.1 Bilan'!Q132</f>
        <v>1264473.8700000001</v>
      </c>
      <c r="O13" s="101">
        <f>'5.1 Bilan'!R132</f>
        <v>125256.5</v>
      </c>
      <c r="P13" s="101">
        <f>'5.1 Bilan'!S132</f>
        <v>0</v>
      </c>
      <c r="Q13" s="101">
        <f>'5.1 Bilan'!T132</f>
        <v>2512156.62</v>
      </c>
      <c r="R13" s="101">
        <f>'5.1 Bilan'!U132</f>
        <v>0</v>
      </c>
      <c r="S13" s="101">
        <f>'5.1 Bilan'!V132</f>
        <v>160308.08000000002</v>
      </c>
      <c r="T13" s="101">
        <f>'5.1 Bilan'!W132</f>
        <v>1963055.37</v>
      </c>
      <c r="U13" s="101">
        <f>'5.1 Bilan'!X132</f>
        <v>-76048.84</v>
      </c>
      <c r="V13" s="101">
        <f>'5.1 Bilan'!Y132</f>
        <v>63507.4</v>
      </c>
      <c r="W13" s="101">
        <f>'5.1 Bilan'!Z132</f>
        <v>0</v>
      </c>
      <c r="X13" s="101">
        <f>'5.1 Bilan'!AA132</f>
        <v>0</v>
      </c>
      <c r="Y13" s="101">
        <f>'5.1 Bilan'!AB132</f>
        <v>0</v>
      </c>
      <c r="Z13" s="101">
        <f>'5.1 Bilan'!AC132</f>
        <v>0</v>
      </c>
      <c r="AA13" s="101">
        <f>'5.1 Bilan'!AD132</f>
        <v>795091.5</v>
      </c>
      <c r="AB13" s="101">
        <f>'5.1 Bilan'!AE132</f>
        <v>87760.01</v>
      </c>
      <c r="AC13" s="101">
        <f>'5.1 Bilan'!AF132</f>
        <v>195428.94</v>
      </c>
      <c r="AD13" s="101">
        <f>'5.1 Bilan'!AG132</f>
        <v>484090.64999999997</v>
      </c>
      <c r="AE13" s="101">
        <f>'5.1 Bilan'!AH132</f>
        <v>1436720.75</v>
      </c>
      <c r="AF13" s="101">
        <f>'5.1 Bilan'!AI132</f>
        <v>7465503.8499999996</v>
      </c>
      <c r="AG13" s="101">
        <f>'5.1 Bilan'!AJ132</f>
        <v>64804.639999999999</v>
      </c>
      <c r="AH13" s="101">
        <f>'5.1 Bilan'!AK132</f>
        <v>148300</v>
      </c>
      <c r="AI13" s="101">
        <f>'5.1 Bilan'!AL132</f>
        <v>0</v>
      </c>
      <c r="AJ13" s="101">
        <f>'5.1 Bilan'!AM132</f>
        <v>1134925.8399999999</v>
      </c>
      <c r="AK13" s="101">
        <f>'5.1 Bilan'!AN132</f>
        <v>438479.73</v>
      </c>
      <c r="AL13" s="101">
        <f>'5.1 Bilan'!AO132</f>
        <v>0</v>
      </c>
      <c r="AM13" s="101">
        <f>'5.1 Bilan'!AP132</f>
        <v>1000000</v>
      </c>
      <c r="AN13" s="101">
        <f>'5.1 Bilan'!AQ132</f>
        <v>50050</v>
      </c>
      <c r="AO13" s="101">
        <f>'5.1 Bilan'!AR132</f>
        <v>334240</v>
      </c>
      <c r="AP13" s="101">
        <f>'5.1 Bilan'!AS132</f>
        <v>524000</v>
      </c>
      <c r="AQ13" s="101">
        <f>'5.1 Bilan'!AT132</f>
        <v>333359.06</v>
      </c>
      <c r="AR13" s="101">
        <f>'5.1 Bilan'!AU132</f>
        <v>276059</v>
      </c>
      <c r="AS13" s="101">
        <f>'5.1 Bilan'!AV132</f>
        <v>19300</v>
      </c>
      <c r="AT13" s="101">
        <f>'5.1 Bilan'!AW132</f>
        <v>0</v>
      </c>
      <c r="AU13" s="101">
        <f>'5.1 Bilan'!AX132</f>
        <v>1227600</v>
      </c>
      <c r="AV13" s="101">
        <f>'5.1 Bilan'!AY132</f>
        <v>0</v>
      </c>
      <c r="AW13" s="101">
        <f>'5.1 Bilan'!AZ132</f>
        <v>235243.64</v>
      </c>
      <c r="AX13" s="101">
        <f>'5.1 Bilan'!BA132</f>
        <v>530829.82999999996</v>
      </c>
      <c r="AY13" s="101">
        <f>'5.1 Bilan'!BB132</f>
        <v>772673.41</v>
      </c>
      <c r="AZ13" s="101">
        <f>'5.1 Bilan'!BC132</f>
        <v>988442.09</v>
      </c>
      <c r="BA13" s="101">
        <f>'5.1 Bilan'!BD132</f>
        <v>0</v>
      </c>
      <c r="BB13" s="101">
        <f>'5.1 Bilan'!BE132</f>
        <v>10110840.08</v>
      </c>
      <c r="BC13" s="101">
        <f>'5.1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'5.1 Bilan'!F164</f>
        <v>4874949.96</v>
      </c>
      <c r="D15" s="101">
        <f>'5.1 Bilan'!G164</f>
        <v>2330502.85</v>
      </c>
      <c r="E15" s="101">
        <f>'5.1 Bilan'!H164</f>
        <v>5359040</v>
      </c>
      <c r="F15" s="101">
        <f>'5.1 Bilan'!I164</f>
        <v>3992448.21</v>
      </c>
      <c r="G15" s="101">
        <f>'5.1 Bilan'!J164</f>
        <v>20219956.25</v>
      </c>
      <c r="H15" s="101">
        <f>'5.1 Bilan'!K164</f>
        <v>16975600</v>
      </c>
      <c r="I15" s="101">
        <f>'5.1 Bilan'!L164</f>
        <v>10391906.689999999</v>
      </c>
      <c r="J15" s="101">
        <f>'5.1 Bilan'!M164</f>
        <v>74043576.549999997</v>
      </c>
      <c r="K15" s="101">
        <f>'5.1 Bilan'!N164</f>
        <v>6416829.75</v>
      </c>
      <c r="L15" s="101">
        <f>'5.1 Bilan'!O164</f>
        <v>825716.9</v>
      </c>
      <c r="M15" s="101">
        <f>'5.1 Bilan'!P164</f>
        <v>30426335.699999999</v>
      </c>
      <c r="N15" s="101">
        <f>'5.1 Bilan'!Q164</f>
        <v>1797463.35</v>
      </c>
      <c r="O15" s="101">
        <f>'5.1 Bilan'!R164</f>
        <v>385600</v>
      </c>
      <c r="P15" s="101">
        <f>'5.1 Bilan'!S164</f>
        <v>3046722.25</v>
      </c>
      <c r="Q15" s="101">
        <f>'5.1 Bilan'!T164</f>
        <v>1129011</v>
      </c>
      <c r="R15" s="101">
        <f>'5.1 Bilan'!U164</f>
        <v>5103900</v>
      </c>
      <c r="S15" s="101">
        <f>'5.1 Bilan'!V164</f>
        <v>564750</v>
      </c>
      <c r="T15" s="101">
        <f>'5.1 Bilan'!W164</f>
        <v>1959468.1</v>
      </c>
      <c r="U15" s="101">
        <f>'5.1 Bilan'!X164</f>
        <v>13434310</v>
      </c>
      <c r="V15" s="101">
        <f>'5.1 Bilan'!Y164</f>
        <v>504064</v>
      </c>
      <c r="W15" s="101">
        <f>'5.1 Bilan'!Z164</f>
        <v>3210200</v>
      </c>
      <c r="X15" s="101">
        <f>'5.1 Bilan'!AA164</f>
        <v>4729200</v>
      </c>
      <c r="Y15" s="101">
        <f>'5.1 Bilan'!AB164</f>
        <v>610190</v>
      </c>
      <c r="Z15" s="101">
        <f>'5.1 Bilan'!AC164</f>
        <v>1200000</v>
      </c>
      <c r="AA15" s="101">
        <f>'5.1 Bilan'!AD164</f>
        <v>2672245</v>
      </c>
      <c r="AB15" s="101">
        <f>'5.1 Bilan'!AE164</f>
        <v>7824482.2800000003</v>
      </c>
      <c r="AC15" s="101">
        <f>'5.1 Bilan'!AF164</f>
        <v>3642000</v>
      </c>
      <c r="AD15" s="101">
        <f>'5.1 Bilan'!AG164</f>
        <v>515000</v>
      </c>
      <c r="AE15" s="101">
        <f>'5.1 Bilan'!AH164</f>
        <v>5331400</v>
      </c>
      <c r="AF15" s="101">
        <f>'5.1 Bilan'!AI164</f>
        <v>11523397.299999999</v>
      </c>
      <c r="AG15" s="101">
        <f>'5.1 Bilan'!AJ164</f>
        <v>912417.62</v>
      </c>
      <c r="AH15" s="101">
        <f>'5.1 Bilan'!AK164</f>
        <v>971910</v>
      </c>
      <c r="AI15" s="101">
        <f>'5.1 Bilan'!AL164</f>
        <v>17252944.620000001</v>
      </c>
      <c r="AJ15" s="101">
        <f>'5.1 Bilan'!AM164</f>
        <v>8541150</v>
      </c>
      <c r="AK15" s="101">
        <f>'5.1 Bilan'!AN164</f>
        <v>10805793.380000001</v>
      </c>
      <c r="AL15" s="101">
        <f>'5.1 Bilan'!AO164</f>
        <v>1600000</v>
      </c>
      <c r="AM15" s="101">
        <f>'5.1 Bilan'!AP164</f>
        <v>8720525</v>
      </c>
      <c r="AN15" s="101">
        <f>'5.1 Bilan'!AQ164</f>
        <v>4736229.05</v>
      </c>
      <c r="AO15" s="101">
        <f>'5.1 Bilan'!AR164</f>
        <v>3968985</v>
      </c>
      <c r="AP15" s="101">
        <f>'5.1 Bilan'!AS164</f>
        <v>9226404.7300000004</v>
      </c>
      <c r="AQ15" s="101">
        <f>'5.1 Bilan'!AT164</f>
        <v>5073767.0999999996</v>
      </c>
      <c r="AR15" s="101">
        <f>'5.1 Bilan'!AU164</f>
        <v>7532739.1200000001</v>
      </c>
      <c r="AS15" s="101">
        <f>'5.1 Bilan'!AV164</f>
        <v>1825965</v>
      </c>
      <c r="AT15" s="101">
        <f>'5.1 Bilan'!AW164</f>
        <v>13357775</v>
      </c>
      <c r="AU15" s="101">
        <f>'5.1 Bilan'!AX164</f>
        <v>4368892</v>
      </c>
      <c r="AV15" s="101">
        <f>'5.1 Bilan'!AY164</f>
        <v>676480</v>
      </c>
      <c r="AW15" s="101">
        <f>'5.1 Bilan'!AZ164</f>
        <v>1825900</v>
      </c>
      <c r="AX15" s="101">
        <f>'5.1 Bilan'!BA164</f>
        <v>18661404.399999999</v>
      </c>
      <c r="AY15" s="101">
        <f>'5.1 Bilan'!BB164</f>
        <v>871280</v>
      </c>
      <c r="AZ15" s="101">
        <f>'5.1 Bilan'!BC164</f>
        <v>8226220</v>
      </c>
      <c r="BA15" s="101">
        <f>'5.1 Bilan'!BD164</f>
        <v>148745.70000000001</v>
      </c>
      <c r="BB15" s="101">
        <f>'5.1 Bilan'!BE164</f>
        <v>54697562</v>
      </c>
      <c r="BC15" s="101">
        <f>'5.1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'5.1 Bilan'!F139</f>
        <v>0</v>
      </c>
      <c r="D17" s="101">
        <f>'5.1 Bilan'!G139</f>
        <v>0</v>
      </c>
      <c r="E17" s="101">
        <f>'5.1 Bilan'!H139</f>
        <v>0</v>
      </c>
      <c r="F17" s="101">
        <f>'5.1 Bilan'!I139</f>
        <v>0</v>
      </c>
      <c r="G17" s="101">
        <f>'5.1 Bilan'!J139</f>
        <v>0</v>
      </c>
      <c r="H17" s="101">
        <f>'5.1 Bilan'!K139</f>
        <v>0</v>
      </c>
      <c r="I17" s="101">
        <f>'5.1 Bilan'!L139</f>
        <v>0</v>
      </c>
      <c r="J17" s="101">
        <f>'5.1 Bilan'!M139</f>
        <v>0</v>
      </c>
      <c r="K17" s="101">
        <f>'5.1 Bilan'!N139</f>
        <v>0</v>
      </c>
      <c r="L17" s="101">
        <f>'5.1 Bilan'!O139</f>
        <v>0</v>
      </c>
      <c r="M17" s="101">
        <f>'5.1 Bilan'!P139</f>
        <v>0</v>
      </c>
      <c r="N17" s="101">
        <f>'5.1 Bilan'!Q139</f>
        <v>0</v>
      </c>
      <c r="O17" s="101">
        <f>'5.1 Bilan'!R139</f>
        <v>0</v>
      </c>
      <c r="P17" s="101">
        <f>'5.1 Bilan'!S139</f>
        <v>0</v>
      </c>
      <c r="Q17" s="101">
        <f>'5.1 Bilan'!T139</f>
        <v>0</v>
      </c>
      <c r="R17" s="101">
        <f>'5.1 Bilan'!U139</f>
        <v>0</v>
      </c>
      <c r="S17" s="101">
        <f>'5.1 Bilan'!V139</f>
        <v>0</v>
      </c>
      <c r="T17" s="101">
        <f>'5.1 Bilan'!W139</f>
        <v>0</v>
      </c>
      <c r="U17" s="101">
        <f>'5.1 Bilan'!X139</f>
        <v>0</v>
      </c>
      <c r="V17" s="101">
        <f>'5.1 Bilan'!Y139</f>
        <v>0</v>
      </c>
      <c r="W17" s="101">
        <f>'5.1 Bilan'!Z139</f>
        <v>0</v>
      </c>
      <c r="X17" s="101">
        <f>'5.1 Bilan'!AA139</f>
        <v>0</v>
      </c>
      <c r="Y17" s="101">
        <f>'5.1 Bilan'!AB139</f>
        <v>0</v>
      </c>
      <c r="Z17" s="101">
        <f>'5.1 Bilan'!AC139</f>
        <v>0</v>
      </c>
      <c r="AA17" s="101">
        <f>'5.1 Bilan'!AD139</f>
        <v>0</v>
      </c>
      <c r="AB17" s="101">
        <f>'5.1 Bilan'!AE139</f>
        <v>0</v>
      </c>
      <c r="AC17" s="101">
        <f>'5.1 Bilan'!AF139</f>
        <v>0</v>
      </c>
      <c r="AD17" s="101">
        <f>'5.1 Bilan'!AG139</f>
        <v>0</v>
      </c>
      <c r="AE17" s="101">
        <f>'5.1 Bilan'!AH139</f>
        <v>0</v>
      </c>
      <c r="AF17" s="101">
        <f>'5.1 Bilan'!AI139</f>
        <v>0</v>
      </c>
      <c r="AG17" s="101">
        <f>'5.1 Bilan'!AJ139</f>
        <v>0</v>
      </c>
      <c r="AH17" s="101">
        <f>'5.1 Bilan'!AK139</f>
        <v>0</v>
      </c>
      <c r="AI17" s="101">
        <f>'5.1 Bilan'!AL139</f>
        <v>0</v>
      </c>
      <c r="AJ17" s="101">
        <f>'5.1 Bilan'!AM139</f>
        <v>0</v>
      </c>
      <c r="AK17" s="101">
        <f>'5.1 Bilan'!AN139</f>
        <v>0</v>
      </c>
      <c r="AL17" s="101">
        <f>'5.1 Bilan'!AO139</f>
        <v>0</v>
      </c>
      <c r="AM17" s="101">
        <f>'5.1 Bilan'!AP139</f>
        <v>0</v>
      </c>
      <c r="AN17" s="101">
        <f>'5.1 Bilan'!AQ139</f>
        <v>0</v>
      </c>
      <c r="AO17" s="101">
        <f>'5.1 Bilan'!AR139</f>
        <v>0</v>
      </c>
      <c r="AP17" s="101">
        <f>'5.1 Bilan'!AS139</f>
        <v>0</v>
      </c>
      <c r="AQ17" s="101">
        <f>'5.1 Bilan'!AT139</f>
        <v>0</v>
      </c>
      <c r="AR17" s="101">
        <f>'5.1 Bilan'!AU139</f>
        <v>0</v>
      </c>
      <c r="AS17" s="101">
        <f>'5.1 Bilan'!AV139</f>
        <v>0</v>
      </c>
      <c r="AT17" s="101">
        <f>'5.1 Bilan'!AW139</f>
        <v>0</v>
      </c>
      <c r="AU17" s="101">
        <f>'5.1 Bilan'!AX139</f>
        <v>0</v>
      </c>
      <c r="AV17" s="101">
        <f>'5.1 Bilan'!AY139</f>
        <v>0</v>
      </c>
      <c r="AW17" s="101">
        <f>'5.1 Bilan'!AZ139</f>
        <v>0</v>
      </c>
      <c r="AX17" s="101">
        <f>'5.1 Bilan'!BA139</f>
        <v>0</v>
      </c>
      <c r="AY17" s="101">
        <f>'5.1 Bilan'!BB139</f>
        <v>0</v>
      </c>
      <c r="AZ17" s="101">
        <f>'5.1 Bilan'!BC139</f>
        <v>0</v>
      </c>
      <c r="BA17" s="101">
        <f>'5.1 Bilan'!BD139</f>
        <v>0</v>
      </c>
      <c r="BB17" s="101">
        <f>'5.1 Bilan'!BE139</f>
        <v>0</v>
      </c>
      <c r="BC17" s="101">
        <f>'5.1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6"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6"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6"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6"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6"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6"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6"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6"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6"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6"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6"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6"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6"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6"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6"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6"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6"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6"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6"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6"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6"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6"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6"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6"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6"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6"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6"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6"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6"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6"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6"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6"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6"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6"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6"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6"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6"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6"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6"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6"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6"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6"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6"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6"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6"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6"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6"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6"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6"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6"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6"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6"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G38" sqref="G3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HLOOKUP($E$4,'5.1 Bilan'!$F$3:$BF$226,2,0)</f>
        <v>6103718.5500000007</v>
      </c>
    </row>
    <row r="8" spans="1:6" x14ac:dyDescent="0.25">
      <c r="A8" s="78"/>
      <c r="B8" s="74">
        <v>10</v>
      </c>
      <c r="C8" s="74"/>
      <c r="D8" s="74"/>
      <c r="E8" s="74" t="s">
        <v>247</v>
      </c>
      <c r="F8" s="75">
        <f>HLOOKUP($E$4,'5.1 Bilan'!$F$3:$BF$226,3,0)</f>
        <v>2569790.9000000004</v>
      </c>
    </row>
    <row r="9" spans="1:6" x14ac:dyDescent="0.25">
      <c r="A9" s="79"/>
      <c r="B9" s="79"/>
      <c r="C9" s="69">
        <v>100</v>
      </c>
      <c r="D9" s="69"/>
      <c r="E9" s="69" t="s">
        <v>248</v>
      </c>
      <c r="F9" s="177">
        <f>SUM(F10:F15)</f>
        <v>1011017.67</v>
      </c>
    </row>
    <row r="10" spans="1:6" x14ac:dyDescent="0.25">
      <c r="D10">
        <v>1000</v>
      </c>
      <c r="E10" t="s">
        <v>322</v>
      </c>
      <c r="F10" s="4">
        <f>HLOOKUP($E$4,'5.1 Bilan'!$F$3:$BF$226,5,0)</f>
        <v>1698.15</v>
      </c>
    </row>
    <row r="11" spans="1:6" x14ac:dyDescent="0.25">
      <c r="D11">
        <v>1001</v>
      </c>
      <c r="E11" t="s">
        <v>323</v>
      </c>
      <c r="F11" s="4">
        <f>HLOOKUP($E$4,'5.1 Bilan'!$F$3:$BF$226,6,0)</f>
        <v>74871.34</v>
      </c>
    </row>
    <row r="12" spans="1:6" x14ac:dyDescent="0.25">
      <c r="D12">
        <v>1002</v>
      </c>
      <c r="E12" t="s">
        <v>331</v>
      </c>
      <c r="F12" s="4">
        <f>HLOOKUP($E$4,'5.1 Bilan'!$F$3:$BF$226,7,0)</f>
        <v>934448.18</v>
      </c>
    </row>
    <row r="13" spans="1:6" x14ac:dyDescent="0.25">
      <c r="D13">
        <v>1003</v>
      </c>
      <c r="E13" t="s">
        <v>324</v>
      </c>
      <c r="F13" s="4">
        <f>HLOOKUP($E$4,'5.1 Bilan'!$F$3:$BF$226,8,0)</f>
        <v>0</v>
      </c>
    </row>
    <row r="14" spans="1:6" x14ac:dyDescent="0.25">
      <c r="D14">
        <v>1004</v>
      </c>
      <c r="E14" t="s">
        <v>325</v>
      </c>
      <c r="F14" s="4">
        <f>HLOOKUP($E$4,'5.1 Bilan'!$F$3:$BF$226,9,0)</f>
        <v>0</v>
      </c>
    </row>
    <row r="15" spans="1:6" x14ac:dyDescent="0.25">
      <c r="D15">
        <v>1009</v>
      </c>
      <c r="E15" t="s">
        <v>326</v>
      </c>
      <c r="F15" s="4">
        <f>HLOOKUP($E$4,'5.1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HLOOKUP($E$4,'5.1 Bilan'!$F$3:$BF$226,13,0)</f>
        <v>62083.64</v>
      </c>
    </row>
    <row r="19" spans="1:6" x14ac:dyDescent="0.25">
      <c r="D19">
        <v>1011</v>
      </c>
      <c r="E19" t="s">
        <v>408</v>
      </c>
      <c r="F19" s="4">
        <f>HLOOKUP($E$4,'5.1 Bilan'!$F$3:$BF$226,14,0)</f>
        <v>0</v>
      </c>
    </row>
    <row r="20" spans="1:6" x14ac:dyDescent="0.25">
      <c r="D20">
        <v>1012</v>
      </c>
      <c r="E20" t="s">
        <v>328</v>
      </c>
      <c r="F20" s="4">
        <f>HLOOKUP($E$4,'5.1 Bilan'!$F$3:$BF$226,15,0)</f>
        <v>408257.56</v>
      </c>
    </row>
    <row r="21" spans="1:6" x14ac:dyDescent="0.25">
      <c r="D21">
        <v>1013</v>
      </c>
      <c r="E21" t="s">
        <v>329</v>
      </c>
      <c r="F21" s="4">
        <f>HLOOKUP($E$4,'5.1 Bilan'!$F$3:$BF$226,16,0)</f>
        <v>0</v>
      </c>
    </row>
    <row r="22" spans="1:6" x14ac:dyDescent="0.25">
      <c r="D22">
        <v>1014</v>
      </c>
      <c r="E22" t="s">
        <v>330</v>
      </c>
      <c r="F22" s="4">
        <f>HLOOKUP($E$4,'5.1 Bilan'!$F$3:$BF$226,17,0)</f>
        <v>0</v>
      </c>
    </row>
    <row r="23" spans="1:6" x14ac:dyDescent="0.25">
      <c r="D23">
        <v>1015</v>
      </c>
      <c r="E23" t="s">
        <v>332</v>
      </c>
      <c r="F23" s="4">
        <f>HLOOKUP($E$4,'5.1 Bilan'!$F$3:$BF$226,18,0)</f>
        <v>0</v>
      </c>
    </row>
    <row r="24" spans="1:6" x14ac:dyDescent="0.25">
      <c r="D24">
        <v>1016</v>
      </c>
      <c r="E24" t="s">
        <v>333</v>
      </c>
      <c r="F24" s="4">
        <f>HLOOKUP($E$4,'5.1 Bilan'!$F$3:$BF$226,19,0)</f>
        <v>0</v>
      </c>
    </row>
    <row r="25" spans="1:6" x14ac:dyDescent="0.25">
      <c r="D25">
        <v>1019</v>
      </c>
      <c r="E25" t="s">
        <v>334</v>
      </c>
      <c r="F25" s="4">
        <f>HLOOKUP($E$4,'5.1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HLOOKUP($E$4,'5.1 Bilan'!$F$3:$BF$226,23,0)</f>
        <v>0</v>
      </c>
    </row>
    <row r="29" spans="1:6" x14ac:dyDescent="0.25">
      <c r="D29">
        <v>1022</v>
      </c>
      <c r="E29" t="s">
        <v>336</v>
      </c>
      <c r="F29" s="4">
        <f>HLOOKUP($E$4,'5.1 Bilan'!$F$3:$BF$226,24,0)</f>
        <v>0</v>
      </c>
    </row>
    <row r="30" spans="1:6" x14ac:dyDescent="0.25">
      <c r="D30">
        <v>1023</v>
      </c>
      <c r="E30" t="s">
        <v>337</v>
      </c>
      <c r="F30" s="4">
        <f>HLOOKUP($E$4,'5.1 Bilan'!$F$3:$BF$226,25,0)</f>
        <v>0</v>
      </c>
    </row>
    <row r="31" spans="1:6" x14ac:dyDescent="0.25">
      <c r="D31">
        <v>1029</v>
      </c>
      <c r="E31" t="s">
        <v>338</v>
      </c>
      <c r="F31" s="4">
        <f>HLOOKUP($E$4,'5.1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HLOOKUP($E$4,'5.1 Bilan'!$F$3:$BF$226,29,0)</f>
        <v>0</v>
      </c>
    </row>
    <row r="35" spans="3:6" x14ac:dyDescent="0.25">
      <c r="D35">
        <v>1041</v>
      </c>
      <c r="E35" t="s">
        <v>339</v>
      </c>
      <c r="F35" s="4">
        <f>HLOOKUP($E$4,'5.1 Bilan'!$F$3:$BF$226,30,0)</f>
        <v>123455.05</v>
      </c>
    </row>
    <row r="36" spans="3:6" x14ac:dyDescent="0.25">
      <c r="D36">
        <v>1042</v>
      </c>
      <c r="E36" t="s">
        <v>340</v>
      </c>
      <c r="F36" s="4">
        <f>HLOOKUP($E$4,'5.1 Bilan'!$F$3:$BF$226,31,0)</f>
        <v>0</v>
      </c>
    </row>
    <row r="37" spans="3:6" x14ac:dyDescent="0.25">
      <c r="D37">
        <v>1043</v>
      </c>
      <c r="E37" t="s">
        <v>341</v>
      </c>
      <c r="F37" s="4">
        <f>HLOOKUP($E$4,'5.1 Bilan'!$F$3:$BF$226,32,0)</f>
        <v>69637.98</v>
      </c>
    </row>
    <row r="38" spans="3:6" x14ac:dyDescent="0.25">
      <c r="D38">
        <v>1044</v>
      </c>
      <c r="E38" t="s">
        <v>342</v>
      </c>
      <c r="F38" s="4">
        <f>HLOOKUP($E$4,'5.1 Bilan'!$F$3:$BF$226,33,0)</f>
        <v>0</v>
      </c>
    </row>
    <row r="39" spans="3:6" x14ac:dyDescent="0.25">
      <c r="D39">
        <v>1045</v>
      </c>
      <c r="E39" t="s">
        <v>343</v>
      </c>
      <c r="F39" s="4">
        <f>HLOOKUP($E$4,'5.1 Bilan'!$F$3:$BF$226,34,0)</f>
        <v>0</v>
      </c>
    </row>
    <row r="40" spans="3:6" x14ac:dyDescent="0.25">
      <c r="D40">
        <v>1046</v>
      </c>
      <c r="E40" t="s">
        <v>344</v>
      </c>
      <c r="F40" s="4">
        <f>HLOOKUP($E$4,'5.1 Bilan'!$F$3:$BF$226,35,0)</f>
        <v>0</v>
      </c>
    </row>
    <row r="41" spans="3:6" x14ac:dyDescent="0.25">
      <c r="D41">
        <v>1049</v>
      </c>
      <c r="E41" t="s">
        <v>345</v>
      </c>
      <c r="F41" s="4">
        <f>HLOOKUP($E$4,'5.1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HLOOKUP($E$4,'5.1 Bilan'!$F$3:$BF$226,39,0)</f>
        <v>0</v>
      </c>
    </row>
    <row r="45" spans="3:6" x14ac:dyDescent="0.25">
      <c r="D45">
        <v>1061</v>
      </c>
      <c r="E45" t="s">
        <v>347</v>
      </c>
      <c r="F45" s="4">
        <f>HLOOKUP($E$4,'5.1 Bilan'!$F$3:$BF$226,40,0)</f>
        <v>0</v>
      </c>
    </row>
    <row r="46" spans="3:6" x14ac:dyDescent="0.25">
      <c r="D46">
        <v>1062</v>
      </c>
      <c r="E46" t="s">
        <v>348</v>
      </c>
      <c r="F46" s="4">
        <f>HLOOKUP($E$4,'5.1 Bilan'!$F$3:$BF$226,41,0)</f>
        <v>0</v>
      </c>
    </row>
    <row r="47" spans="3:6" x14ac:dyDescent="0.25">
      <c r="D47">
        <v>1063</v>
      </c>
      <c r="E47" t="s">
        <v>349</v>
      </c>
      <c r="F47" s="4">
        <f>HLOOKUP($E$4,'5.1 Bilan'!$F$3:$BF$226,42,0)</f>
        <v>0</v>
      </c>
    </row>
    <row r="48" spans="3:6" x14ac:dyDescent="0.25">
      <c r="D48">
        <v>1068</v>
      </c>
      <c r="E48" t="s">
        <v>350</v>
      </c>
      <c r="F48" s="4">
        <f>HLOOKUP($E$4,'5.1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HLOOKUP($E$4,'5.1 Bilan'!$F$3:$BF$226,46,0)</f>
        <v>4</v>
      </c>
    </row>
    <row r="52" spans="3:6" x14ac:dyDescent="0.25">
      <c r="D52">
        <v>1071</v>
      </c>
      <c r="E52" t="s">
        <v>352</v>
      </c>
      <c r="F52" s="4">
        <f>HLOOKUP($E$4,'5.1 Bilan'!$F$3:$BF$226,47,0)</f>
        <v>0</v>
      </c>
    </row>
    <row r="53" spans="3:6" x14ac:dyDescent="0.25">
      <c r="D53">
        <v>1072</v>
      </c>
      <c r="E53" t="s">
        <v>353</v>
      </c>
      <c r="F53" s="4">
        <f>HLOOKUP($E$4,'5.1 Bilan'!$F$3:$BF$226,48,0)</f>
        <v>0</v>
      </c>
    </row>
    <row r="54" spans="3:6" x14ac:dyDescent="0.25">
      <c r="D54">
        <v>1079</v>
      </c>
      <c r="E54" t="s">
        <v>354</v>
      </c>
      <c r="F54" s="4">
        <f>HLOOKUP($E$4,'5.1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HLOOKUP($E$4,'5.1 Bilan'!$F$3:$BF$226,52,0)</f>
        <v>185335</v>
      </c>
    </row>
    <row r="58" spans="3:6" x14ac:dyDescent="0.25">
      <c r="D58">
        <v>1084</v>
      </c>
      <c r="E58" t="s">
        <v>357</v>
      </c>
      <c r="F58" s="4">
        <f>HLOOKUP($E$4,'5.1 Bilan'!$F$3:$BF$226,53,0)</f>
        <v>710000</v>
      </c>
    </row>
    <row r="59" spans="3:6" x14ac:dyDescent="0.25">
      <c r="D59">
        <v>1086</v>
      </c>
      <c r="E59" t="s">
        <v>358</v>
      </c>
      <c r="F59" s="4">
        <f>HLOOKUP($E$4,'5.1 Bilan'!$F$3:$BF$226,54,0)</f>
        <v>0</v>
      </c>
    </row>
    <row r="60" spans="3:6" x14ac:dyDescent="0.25">
      <c r="D60">
        <v>1087</v>
      </c>
      <c r="E60" t="s">
        <v>359</v>
      </c>
      <c r="F60" s="4">
        <f>HLOOKUP($E$4,'5.1 Bilan'!$F$3:$BF$226,55,0)</f>
        <v>0</v>
      </c>
    </row>
    <row r="61" spans="3:6" x14ac:dyDescent="0.25">
      <c r="D61">
        <v>1088</v>
      </c>
      <c r="E61" t="s">
        <v>360</v>
      </c>
      <c r="F61" s="4">
        <f>HLOOKUP($E$4,'5.1 Bilan'!$F$3:$BF$226,56,0)</f>
        <v>0</v>
      </c>
    </row>
    <row r="62" spans="3:6" x14ac:dyDescent="0.25">
      <c r="D62">
        <v>1089</v>
      </c>
      <c r="E62" t="s">
        <v>361</v>
      </c>
      <c r="F62" s="4">
        <f>HLOOKUP($E$4,'5.1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HLOOKUP($E$4,'5.1 Bilan'!$F$3:$BF$226,60,0)</f>
        <v>0</v>
      </c>
    </row>
    <row r="66" spans="2:6" x14ac:dyDescent="0.25">
      <c r="D66">
        <v>1091</v>
      </c>
      <c r="E66" t="s">
        <v>363</v>
      </c>
      <c r="F66" s="4">
        <f>HLOOKUP($E$4,'5.1 Bilan'!$F$3:$BF$226,61,0)</f>
        <v>0</v>
      </c>
    </row>
    <row r="67" spans="2:6" x14ac:dyDescent="0.25">
      <c r="D67">
        <v>1092</v>
      </c>
      <c r="E67" t="s">
        <v>364</v>
      </c>
      <c r="F67" s="4">
        <f>HLOOKUP($E$4,'5.1 Bilan'!$F$3:$BF$226,62,0)</f>
        <v>0</v>
      </c>
    </row>
    <row r="68" spans="2:6" x14ac:dyDescent="0.25">
      <c r="D68">
        <v>1093</v>
      </c>
      <c r="E68" t="s">
        <v>365</v>
      </c>
      <c r="F68" s="4">
        <f>HLOOKUP($E$4,'5.1 Bilan'!$F$3:$BF$226,63,0)</f>
        <v>0</v>
      </c>
    </row>
    <row r="69" spans="2:6" x14ac:dyDescent="0.25">
      <c r="F69" s="4"/>
    </row>
    <row r="70" spans="2:6" x14ac:dyDescent="0.25">
      <c r="B70" s="76">
        <v>14</v>
      </c>
      <c r="C70" s="76"/>
      <c r="D70" s="76"/>
      <c r="E70" s="76" t="s">
        <v>254</v>
      </c>
      <c r="F70" s="77">
        <f>HLOOKUP($E$4,'5.1 Bilan'!$F$3:$BF$226,65,0)</f>
        <v>3533927.65</v>
      </c>
    </row>
    <row r="71" spans="2:6" x14ac:dyDescent="0.25">
      <c r="C71" s="69">
        <v>140</v>
      </c>
      <c r="D71" s="69"/>
      <c r="E71" s="69" t="s">
        <v>256</v>
      </c>
      <c r="F71" s="70">
        <f>SUM(F72:F80)</f>
        <v>3510208</v>
      </c>
    </row>
    <row r="72" spans="2:6" x14ac:dyDescent="0.25">
      <c r="D72">
        <v>1400</v>
      </c>
      <c r="E72" t="s">
        <v>366</v>
      </c>
      <c r="F72" s="4">
        <f>HLOOKUP($E$4,'5.1 Bilan'!$F$3:$BF$226,67,0)</f>
        <v>163195</v>
      </c>
    </row>
    <row r="73" spans="2:6" x14ac:dyDescent="0.25">
      <c r="D73">
        <v>1401</v>
      </c>
      <c r="E73" t="s">
        <v>367</v>
      </c>
      <c r="F73" s="4">
        <f>HLOOKUP($E$4,'5.1 Bilan'!$F$3:$BF$226,68,0)</f>
        <v>702000</v>
      </c>
    </row>
    <row r="74" spans="2:6" x14ac:dyDescent="0.25">
      <c r="D74">
        <v>1402</v>
      </c>
      <c r="E74" t="s">
        <v>368</v>
      </c>
      <c r="F74" s="4">
        <f>HLOOKUP($E$4,'5.1 Bilan'!$F$3:$BF$226,69,0)</f>
        <v>0</v>
      </c>
    </row>
    <row r="75" spans="2:6" x14ac:dyDescent="0.25">
      <c r="D75">
        <v>1403</v>
      </c>
      <c r="E75" t="s">
        <v>369</v>
      </c>
      <c r="F75" s="4">
        <f>HLOOKUP($E$4,'5.1 Bilan'!$F$3:$BF$226,70,0)</f>
        <v>254000</v>
      </c>
    </row>
    <row r="76" spans="2:6" x14ac:dyDescent="0.25">
      <c r="D76">
        <v>1404</v>
      </c>
      <c r="E76" t="s">
        <v>370</v>
      </c>
      <c r="F76" s="4">
        <f>HLOOKUP($E$4,'5.1 Bilan'!$F$3:$BF$226,71,0)</f>
        <v>1180000</v>
      </c>
    </row>
    <row r="77" spans="2:6" x14ac:dyDescent="0.25">
      <c r="D77">
        <v>1405</v>
      </c>
      <c r="E77" t="s">
        <v>371</v>
      </c>
      <c r="F77" s="4">
        <f>HLOOKUP($E$4,'5.1 Bilan'!$F$3:$BF$226,72,0)</f>
        <v>1211010</v>
      </c>
    </row>
    <row r="78" spans="2:6" x14ac:dyDescent="0.25">
      <c r="D78">
        <v>1406</v>
      </c>
      <c r="E78" t="s">
        <v>372</v>
      </c>
      <c r="F78" s="4">
        <f>HLOOKUP($E$4,'5.1 Bilan'!$F$3:$BF$226,73,0)</f>
        <v>3</v>
      </c>
    </row>
    <row r="79" spans="2:6" x14ac:dyDescent="0.25">
      <c r="D79">
        <v>1407</v>
      </c>
      <c r="E79" t="s">
        <v>373</v>
      </c>
      <c r="F79" s="4">
        <f>HLOOKUP($E$4,'5.1 Bilan'!$F$3:$BF$226,74,0)</f>
        <v>0</v>
      </c>
    </row>
    <row r="80" spans="2:6" x14ac:dyDescent="0.25">
      <c r="D80">
        <v>1409</v>
      </c>
      <c r="E80" t="s">
        <v>374</v>
      </c>
      <c r="F80" s="4">
        <f>HLOOKUP($E$4,'5.1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HLOOKUP($E$4,'5.1 Bilan'!$F$3:$BF$226,78,0)</f>
        <v>0</v>
      </c>
    </row>
    <row r="84" spans="3:6" x14ac:dyDescent="0.25">
      <c r="D84" s="79">
        <v>1421</v>
      </c>
      <c r="E84" s="79" t="s">
        <v>376</v>
      </c>
      <c r="F84" s="4">
        <f>HLOOKUP($E$4,'5.1 Bilan'!$F$3:$BF$226,79,0)</f>
        <v>0</v>
      </c>
    </row>
    <row r="85" spans="3:6" x14ac:dyDescent="0.25">
      <c r="D85" s="79">
        <v>1427</v>
      </c>
      <c r="E85" s="79" t="s">
        <v>593</v>
      </c>
      <c r="F85" s="4">
        <f>HLOOKUP($E$4,'5.1 Bilan'!$F$3:$BF$226,80,0)</f>
        <v>1219.6500000000001</v>
      </c>
    </row>
    <row r="86" spans="3:6" x14ac:dyDescent="0.25">
      <c r="D86" s="79">
        <v>1429</v>
      </c>
      <c r="E86" s="79" t="s">
        <v>476</v>
      </c>
      <c r="F86" s="4">
        <f>HLOOKUP($E$4,'5.1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HLOOKUP($E$4,'5.1 Bilan'!$F$3:$BF$226,84,0)</f>
        <v>0</v>
      </c>
    </row>
    <row r="90" spans="3:6" x14ac:dyDescent="0.25">
      <c r="D90">
        <v>1441</v>
      </c>
      <c r="E90" t="s">
        <v>379</v>
      </c>
      <c r="F90" s="4">
        <f>HLOOKUP($E$4,'5.1 Bilan'!$F$3:$BF$226,85,0)</f>
        <v>0</v>
      </c>
    </row>
    <row r="91" spans="3:6" x14ac:dyDescent="0.25">
      <c r="D91">
        <v>1442</v>
      </c>
      <c r="E91" t="s">
        <v>378</v>
      </c>
      <c r="F91" s="4">
        <f>HLOOKUP($E$4,'5.1 Bilan'!$F$3:$BF$226,86,0)</f>
        <v>22500</v>
      </c>
    </row>
    <row r="92" spans="3:6" x14ac:dyDescent="0.25">
      <c r="D92">
        <v>1443</v>
      </c>
      <c r="E92" t="s">
        <v>380</v>
      </c>
      <c r="F92" s="4">
        <f>HLOOKUP($E$4,'5.1 Bilan'!$F$3:$BF$226,87,0)</f>
        <v>0</v>
      </c>
    </row>
    <row r="93" spans="3:6" x14ac:dyDescent="0.25">
      <c r="D93">
        <v>1444</v>
      </c>
      <c r="E93" t="s">
        <v>381</v>
      </c>
      <c r="F93" s="4">
        <f>HLOOKUP($E$4,'5.1 Bilan'!$F$3:$BF$226,88,0)</f>
        <v>0</v>
      </c>
    </row>
    <row r="94" spans="3:6" x14ac:dyDescent="0.25">
      <c r="D94">
        <v>1445</v>
      </c>
      <c r="E94" t="s">
        <v>382</v>
      </c>
      <c r="F94" s="4">
        <f>HLOOKUP($E$4,'5.1 Bilan'!$F$3:$BF$226,89,0)</f>
        <v>0</v>
      </c>
    </row>
    <row r="95" spans="3:6" x14ac:dyDescent="0.25">
      <c r="D95">
        <v>1446</v>
      </c>
      <c r="E95" t="s">
        <v>383</v>
      </c>
      <c r="F95" s="4">
        <f>HLOOKUP($E$4,'5.1 Bilan'!$F$3:$BF$226,90,0)</f>
        <v>0</v>
      </c>
    </row>
    <row r="96" spans="3:6" x14ac:dyDescent="0.25">
      <c r="D96">
        <v>1447</v>
      </c>
      <c r="E96" t="s">
        <v>384</v>
      </c>
      <c r="F96" s="4">
        <f>HLOOKUP($E$4,'5.1 Bilan'!$F$3:$BF$226,91,0)</f>
        <v>0</v>
      </c>
    </row>
    <row r="97" spans="3:6" x14ac:dyDescent="0.25">
      <c r="D97">
        <v>1448</v>
      </c>
      <c r="E97" t="s">
        <v>385</v>
      </c>
      <c r="F97" s="4">
        <f>HLOOKUP($E$4,'5.1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HLOOKUP($E$4,'5.1 Bilan'!$F$3:$BF$226,95,0)</f>
        <v>0</v>
      </c>
    </row>
    <row r="101" spans="3:6" x14ac:dyDescent="0.25">
      <c r="D101">
        <v>1451</v>
      </c>
      <c r="E101" t="s">
        <v>386</v>
      </c>
      <c r="F101" s="4">
        <f>HLOOKUP($E$4,'5.1 Bilan'!$F$3:$BF$226,96,0)</f>
        <v>0</v>
      </c>
    </row>
    <row r="102" spans="3:6" x14ac:dyDescent="0.25">
      <c r="D102">
        <v>1452</v>
      </c>
      <c r="E102" t="s">
        <v>389</v>
      </c>
      <c r="F102" s="4">
        <f>HLOOKUP($E$4,'5.1 Bilan'!$F$3:$BF$226,97,0)</f>
        <v>0</v>
      </c>
    </row>
    <row r="103" spans="3:6" x14ac:dyDescent="0.25">
      <c r="D103">
        <v>1453</v>
      </c>
      <c r="E103" t="s">
        <v>390</v>
      </c>
      <c r="F103" s="4">
        <f>HLOOKUP($E$4,'5.1 Bilan'!$F$3:$BF$226,98,0)</f>
        <v>0</v>
      </c>
    </row>
    <row r="104" spans="3:6" x14ac:dyDescent="0.25">
      <c r="D104">
        <v>1454</v>
      </c>
      <c r="E104" t="s">
        <v>391</v>
      </c>
      <c r="F104" s="4">
        <f>HLOOKUP($E$4,'5.1 Bilan'!$F$3:$BF$226,99,0)</f>
        <v>0</v>
      </c>
    </row>
    <row r="105" spans="3:6" x14ac:dyDescent="0.25">
      <c r="D105">
        <v>1455</v>
      </c>
      <c r="E105" t="s">
        <v>392</v>
      </c>
      <c r="F105" s="4">
        <f>HLOOKUP($E$4,'5.1 Bilan'!$F$3:$BF$226,100,0)</f>
        <v>0</v>
      </c>
    </row>
    <row r="106" spans="3:6" x14ac:dyDescent="0.25">
      <c r="D106">
        <v>1456</v>
      </c>
      <c r="E106" t="s">
        <v>393</v>
      </c>
      <c r="F106" s="4">
        <f>HLOOKUP($E$4,'5.1 Bilan'!$F$3:$BF$226,101,0)</f>
        <v>0</v>
      </c>
    </row>
    <row r="107" spans="3:6" x14ac:dyDescent="0.25">
      <c r="D107">
        <v>1457</v>
      </c>
      <c r="E107" t="s">
        <v>394</v>
      </c>
      <c r="F107" s="4">
        <f>HLOOKUP($E$4,'5.1 Bilan'!$F$3:$BF$226,102,0)</f>
        <v>0</v>
      </c>
    </row>
    <row r="108" spans="3:6" x14ac:dyDescent="0.25">
      <c r="D108">
        <v>1458</v>
      </c>
      <c r="E108" t="s">
        <v>395</v>
      </c>
      <c r="F108" s="4">
        <f>HLOOKUP($E$4,'5.1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HLOOKUP($E$4,'5.1 Bilan'!$F$3:$BF$226,106,0)</f>
        <v>0</v>
      </c>
    </row>
    <row r="112" spans="3:6" x14ac:dyDescent="0.25">
      <c r="D112">
        <v>1461</v>
      </c>
      <c r="E112" t="s">
        <v>404</v>
      </c>
      <c r="F112" s="4">
        <f>HLOOKUP($E$4,'5.1 Bilan'!$F$3:$BF$226,107,0)</f>
        <v>0</v>
      </c>
    </row>
    <row r="113" spans="1:6" x14ac:dyDescent="0.25">
      <c r="D113">
        <v>1462</v>
      </c>
      <c r="E113" t="s">
        <v>396</v>
      </c>
      <c r="F113" s="4">
        <f>HLOOKUP($E$4,'5.1 Bilan'!$F$3:$BF$226,108,0)</f>
        <v>0</v>
      </c>
    </row>
    <row r="114" spans="1:6" x14ac:dyDescent="0.25">
      <c r="D114">
        <v>1463</v>
      </c>
      <c r="E114" t="s">
        <v>397</v>
      </c>
      <c r="F114" s="4">
        <f>HLOOKUP($E$4,'5.1 Bilan'!$F$3:$BF$226,109,0)</f>
        <v>0</v>
      </c>
    </row>
    <row r="115" spans="1:6" x14ac:dyDescent="0.25">
      <c r="D115">
        <v>1464</v>
      </c>
      <c r="E115" t="s">
        <v>398</v>
      </c>
      <c r="F115" s="4">
        <f>HLOOKUP($E$4,'5.1 Bilan'!$F$3:$BF$226,110,0)</f>
        <v>0</v>
      </c>
    </row>
    <row r="116" spans="1:6" x14ac:dyDescent="0.25">
      <c r="D116">
        <v>1465</v>
      </c>
      <c r="E116" t="s">
        <v>399</v>
      </c>
      <c r="F116" s="4">
        <f>HLOOKUP($E$4,'5.1 Bilan'!$F$3:$BF$226,111,0)</f>
        <v>0</v>
      </c>
    </row>
    <row r="117" spans="1:6" x14ac:dyDescent="0.25">
      <c r="D117">
        <v>1466</v>
      </c>
      <c r="E117" t="s">
        <v>405</v>
      </c>
      <c r="F117" s="4">
        <f>HLOOKUP($E$4,'5.1 Bilan'!$F$3:$BF$226,112,0)</f>
        <v>0</v>
      </c>
    </row>
    <row r="118" spans="1:6" x14ac:dyDescent="0.25">
      <c r="D118">
        <v>1467</v>
      </c>
      <c r="E118" t="s">
        <v>400</v>
      </c>
      <c r="F118" s="4">
        <f>HLOOKUP($E$4,'5.1 Bilan'!$F$3:$BF$226,113,0)</f>
        <v>0</v>
      </c>
    </row>
    <row r="119" spans="1:6" x14ac:dyDescent="0.25">
      <c r="D119">
        <v>1468</v>
      </c>
      <c r="E119" t="s">
        <v>401</v>
      </c>
      <c r="F119" s="4">
        <f>HLOOKUP($E$4,'5.1 Bilan'!$F$3:$BF$226,114,0)</f>
        <v>0</v>
      </c>
    </row>
    <row r="120" spans="1:6" x14ac:dyDescent="0.25">
      <c r="D120">
        <v>1469</v>
      </c>
      <c r="E120" t="s">
        <v>402</v>
      </c>
      <c r="F120" s="4">
        <f>HLOOKUP($E$4,'5.1 Bilan'!$F$3:$BF$226,115,0)</f>
        <v>0</v>
      </c>
    </row>
    <row r="121" spans="1:6" x14ac:dyDescent="0.25">
      <c r="F121" s="4"/>
    </row>
    <row r="122" spans="1:6" x14ac:dyDescent="0.25">
      <c r="F122" s="4"/>
    </row>
    <row r="123" spans="1:6" ht="21" x14ac:dyDescent="0.35">
      <c r="A123" s="81">
        <v>2</v>
      </c>
      <c r="B123" s="81"/>
      <c r="C123" s="81"/>
      <c r="D123" s="81"/>
      <c r="E123" s="81" t="s">
        <v>258</v>
      </c>
      <c r="F123" s="178">
        <f>HLOOKUP($E$4,'5.1 Bilan'!$F$3:$BF$226,118,0)</f>
        <v>6103718.5499999998</v>
      </c>
    </row>
    <row r="124" spans="1:6" x14ac:dyDescent="0.25">
      <c r="A124" s="7"/>
      <c r="B124" s="85">
        <v>20</v>
      </c>
      <c r="C124" s="85"/>
      <c r="D124" s="85"/>
      <c r="E124" s="85" t="s">
        <v>259</v>
      </c>
      <c r="F124" s="86">
        <f>HLOOKUP($E$4,'5.1 Bilan'!$F$3:$BF$226,119,0)</f>
        <v>4724519.8</v>
      </c>
    </row>
    <row r="125" spans="1:6" x14ac:dyDescent="0.25">
      <c r="C125" s="83">
        <v>200</v>
      </c>
      <c r="D125" s="83"/>
      <c r="E125" s="83" t="s">
        <v>260</v>
      </c>
      <c r="F125" s="84">
        <f>SUM(F126:F133)</f>
        <v>403308.85</v>
      </c>
    </row>
    <row r="126" spans="1:6" x14ac:dyDescent="0.25">
      <c r="D126">
        <v>2000</v>
      </c>
      <c r="E126" t="s">
        <v>407</v>
      </c>
      <c r="F126" s="4">
        <f>HLOOKUP($E$4,'5.1 Bilan'!$F$3:$BF$226,121,0)</f>
        <v>89314.75</v>
      </c>
    </row>
    <row r="127" spans="1:6" x14ac:dyDescent="0.25">
      <c r="D127">
        <v>2001</v>
      </c>
      <c r="E127" t="s">
        <v>408</v>
      </c>
      <c r="F127" s="4">
        <f>HLOOKUP($E$4,'5.1 Bilan'!$F$3:$BF$226,122,0)</f>
        <v>0</v>
      </c>
    </row>
    <row r="128" spans="1:6" x14ac:dyDescent="0.25">
      <c r="D128">
        <v>2002</v>
      </c>
      <c r="E128" t="s">
        <v>409</v>
      </c>
      <c r="F128" s="4">
        <f>HLOOKUP($E$4,'5.1 Bilan'!$F$3:$BF$226,123,0)</f>
        <v>10011.950000000001</v>
      </c>
    </row>
    <row r="129" spans="3:6" x14ac:dyDescent="0.25">
      <c r="D129">
        <v>2003</v>
      </c>
      <c r="E129" t="s">
        <v>410</v>
      </c>
      <c r="F129" s="4">
        <f>HLOOKUP($E$4,'5.1 Bilan'!$F$3:$BF$226,124,0)</f>
        <v>0</v>
      </c>
    </row>
    <row r="130" spans="3:6" x14ac:dyDescent="0.25">
      <c r="D130">
        <v>2004</v>
      </c>
      <c r="E130" t="s">
        <v>411</v>
      </c>
      <c r="F130" s="4">
        <f>HLOOKUP($E$4,'5.1 Bilan'!$F$3:$BF$226,125,0)</f>
        <v>103552</v>
      </c>
    </row>
    <row r="131" spans="3:6" x14ac:dyDescent="0.25">
      <c r="D131">
        <v>2005</v>
      </c>
      <c r="E131" t="s">
        <v>332</v>
      </c>
      <c r="F131" s="4">
        <f>HLOOKUP($E$4,'5.1 Bilan'!$F$3:$BF$226,126,0)</f>
        <v>200430.15</v>
      </c>
    </row>
    <row r="132" spans="3:6" x14ac:dyDescent="0.25">
      <c r="D132">
        <v>2006</v>
      </c>
      <c r="E132" t="s">
        <v>456</v>
      </c>
      <c r="F132" s="4">
        <f>HLOOKUP($E$4,'5.1 Bilan'!$F$3:$BF$226,127,0)</f>
        <v>0</v>
      </c>
    </row>
    <row r="133" spans="3:6" x14ac:dyDescent="0.25">
      <c r="D133">
        <v>2009</v>
      </c>
      <c r="E133" t="s">
        <v>413</v>
      </c>
      <c r="F133" s="4">
        <f>HLOOKUP($E$4,'5.1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HLOOKUP($E$4,'5.1 Bilan'!$F$3:$BF$226,131,0)</f>
        <v>1341</v>
      </c>
    </row>
    <row r="137" spans="3:6" x14ac:dyDescent="0.25">
      <c r="D137">
        <v>2011</v>
      </c>
      <c r="E137" t="s">
        <v>415</v>
      </c>
      <c r="F137" s="4">
        <f>HLOOKUP($E$4,'5.1 Bilan'!$F$3:$BF$226,132,0)</f>
        <v>0</v>
      </c>
    </row>
    <row r="138" spans="3:6" x14ac:dyDescent="0.25">
      <c r="D138">
        <v>2012</v>
      </c>
      <c r="E138" t="s">
        <v>416</v>
      </c>
      <c r="F138" s="4">
        <f>HLOOKUP($E$4,'5.1 Bilan'!$F$3:$BF$226,133,0)</f>
        <v>0</v>
      </c>
    </row>
    <row r="139" spans="3:6" x14ac:dyDescent="0.25">
      <c r="D139">
        <v>2013</v>
      </c>
      <c r="E139" t="s">
        <v>417</v>
      </c>
      <c r="F139" s="4">
        <f>HLOOKUP($E$4,'5.1 Bilan'!$F$3:$BF$226,134,0)</f>
        <v>0</v>
      </c>
    </row>
    <row r="140" spans="3:6" x14ac:dyDescent="0.25">
      <c r="D140">
        <v>2014</v>
      </c>
      <c r="E140" t="s">
        <v>419</v>
      </c>
      <c r="F140" s="4">
        <f>HLOOKUP($E$4,'5.1 Bilan'!$F$3:$BF$226,135,0)</f>
        <v>149085</v>
      </c>
    </row>
    <row r="141" spans="3:6" x14ac:dyDescent="0.25">
      <c r="D141">
        <v>2015</v>
      </c>
      <c r="E141" t="s">
        <v>418</v>
      </c>
      <c r="F141" s="4">
        <f>HLOOKUP($E$4,'5.1 Bilan'!$F$3:$BF$226,136,0)</f>
        <v>0</v>
      </c>
    </row>
    <row r="142" spans="3:6" x14ac:dyDescent="0.25">
      <c r="D142">
        <v>2016</v>
      </c>
      <c r="E142" t="s">
        <v>276</v>
      </c>
      <c r="F142" s="4">
        <f>HLOOKUP($E$4,'5.1 Bilan'!$F$3:$BF$226,137,0)</f>
        <v>0</v>
      </c>
    </row>
    <row r="143" spans="3:6" x14ac:dyDescent="0.25">
      <c r="D143">
        <v>2019</v>
      </c>
      <c r="E143" t="s">
        <v>420</v>
      </c>
      <c r="F143" s="4">
        <f>HLOOKUP($E$4,'5.1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HLOOKUP($E$4,'5.1 Bilan'!$F$3:$BF$226,141,0)</f>
        <v>0</v>
      </c>
    </row>
    <row r="147" spans="3:6" x14ac:dyDescent="0.25">
      <c r="D147">
        <v>2041</v>
      </c>
      <c r="E147" t="s">
        <v>284</v>
      </c>
      <c r="F147" s="4">
        <f>HLOOKUP($E$4,'5.1 Bilan'!$F$3:$BF$226,142,0)</f>
        <v>71826.45</v>
      </c>
    </row>
    <row r="148" spans="3:6" x14ac:dyDescent="0.25">
      <c r="D148">
        <v>2042</v>
      </c>
      <c r="E148" t="s">
        <v>340</v>
      </c>
      <c r="F148" s="4">
        <f>HLOOKUP($E$4,'5.1 Bilan'!$F$3:$BF$226,143,0)</f>
        <v>0</v>
      </c>
    </row>
    <row r="149" spans="3:6" x14ac:dyDescent="0.25">
      <c r="D149">
        <v>2043</v>
      </c>
      <c r="E149" t="s">
        <v>341</v>
      </c>
      <c r="F149" s="4">
        <f>HLOOKUP($E$4,'5.1 Bilan'!$F$3:$BF$226,144,0)</f>
        <v>224636.55</v>
      </c>
    </row>
    <row r="150" spans="3:6" x14ac:dyDescent="0.25">
      <c r="D150">
        <v>2044</v>
      </c>
      <c r="E150" t="s">
        <v>421</v>
      </c>
      <c r="F150" s="4">
        <f>HLOOKUP($E$4,'5.1 Bilan'!$F$3:$BF$226,145,0)</f>
        <v>0</v>
      </c>
    </row>
    <row r="151" spans="3:6" x14ac:dyDescent="0.25">
      <c r="D151">
        <v>2045</v>
      </c>
      <c r="E151" t="s">
        <v>343</v>
      </c>
      <c r="F151" s="4">
        <f>HLOOKUP($E$4,'5.1 Bilan'!$F$3:$BF$226,146,0)</f>
        <v>0</v>
      </c>
    </row>
    <row r="152" spans="3:6" x14ac:dyDescent="0.25">
      <c r="D152">
        <v>2046</v>
      </c>
      <c r="E152" t="s">
        <v>422</v>
      </c>
      <c r="F152" s="4">
        <f>HLOOKUP($E$4,'5.1 Bilan'!$F$3:$BF$226,147,0)</f>
        <v>0</v>
      </c>
    </row>
    <row r="153" spans="3:6" x14ac:dyDescent="0.25">
      <c r="D153">
        <v>2049</v>
      </c>
      <c r="E153" t="s">
        <v>423</v>
      </c>
      <c r="F153" s="4">
        <f>HLOOKUP($E$4,'5.1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HLOOKUP($E$4,'5.1 Bilan'!$F$3:$BF$226,151,0)</f>
        <v>0</v>
      </c>
    </row>
    <row r="157" spans="3:6" x14ac:dyDescent="0.25">
      <c r="D157">
        <v>2051</v>
      </c>
      <c r="E157" t="s">
        <v>425</v>
      </c>
      <c r="F157" s="4">
        <f>HLOOKUP($E$4,'5.1 Bilan'!$F$3:$BF$226,152,0)</f>
        <v>0</v>
      </c>
    </row>
    <row r="158" spans="3:6" x14ac:dyDescent="0.25">
      <c r="D158">
        <v>2052</v>
      </c>
      <c r="E158" t="s">
        <v>426</v>
      </c>
      <c r="F158" s="4">
        <f>HLOOKUP($E$4,'5.1 Bilan'!$F$3:$BF$226,153,0)</f>
        <v>0</v>
      </c>
    </row>
    <row r="159" spans="3:6" x14ac:dyDescent="0.25">
      <c r="D159">
        <v>2053</v>
      </c>
      <c r="E159" t="s">
        <v>430</v>
      </c>
      <c r="F159" s="4">
        <f>HLOOKUP($E$4,'5.1 Bilan'!$F$3:$BF$226,154,0)</f>
        <v>0</v>
      </c>
    </row>
    <row r="160" spans="3:6" x14ac:dyDescent="0.25">
      <c r="D160">
        <v>2054</v>
      </c>
      <c r="E160" t="s">
        <v>428</v>
      </c>
      <c r="F160" s="4">
        <f>HLOOKUP($E$4,'5.1 Bilan'!$F$3:$BF$226,155,0)</f>
        <v>0</v>
      </c>
    </row>
    <row r="161" spans="3:6" x14ac:dyDescent="0.25">
      <c r="D161">
        <v>2055</v>
      </c>
      <c r="E161" t="s">
        <v>427</v>
      </c>
      <c r="F161" s="4">
        <f>HLOOKUP($E$4,'5.1 Bilan'!$F$3:$BF$226,156,0)</f>
        <v>0</v>
      </c>
    </row>
    <row r="162" spans="3:6" x14ac:dyDescent="0.25">
      <c r="D162">
        <v>2056</v>
      </c>
      <c r="E162" t="s">
        <v>429</v>
      </c>
      <c r="F162" s="4">
        <f>HLOOKUP($E$4,'5.1 Bilan'!$F$3:$BF$226,157,0)</f>
        <v>0</v>
      </c>
    </row>
    <row r="163" spans="3:6" x14ac:dyDescent="0.25">
      <c r="D163">
        <v>2057</v>
      </c>
      <c r="E163" t="s">
        <v>431</v>
      </c>
      <c r="F163" s="4">
        <f>HLOOKUP($E$4,'5.1 Bilan'!$F$3:$BF$226,158,0)</f>
        <v>0</v>
      </c>
    </row>
    <row r="164" spans="3:6" x14ac:dyDescent="0.25">
      <c r="D164">
        <v>2058</v>
      </c>
      <c r="E164" t="s">
        <v>432</v>
      </c>
      <c r="F164" s="4">
        <f>HLOOKUP($E$4,'5.1 Bilan'!$F$3:$BF$226,159,0)</f>
        <v>0</v>
      </c>
    </row>
    <row r="165" spans="3:6" x14ac:dyDescent="0.25">
      <c r="D165">
        <v>2059</v>
      </c>
      <c r="E165" t="s">
        <v>433</v>
      </c>
      <c r="F165" s="4">
        <f>HLOOKUP($E$4,'5.1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HLOOKUP($E$4,'5.1 Bilan'!$F$3:$BF$226,163,0)</f>
        <v>0</v>
      </c>
    </row>
    <row r="169" spans="3:6" x14ac:dyDescent="0.25">
      <c r="D169">
        <v>2062</v>
      </c>
      <c r="E169" t="s">
        <v>435</v>
      </c>
      <c r="F169" s="4">
        <f>HLOOKUP($E$4,'5.1 Bilan'!$F$3:$BF$226,164,0)</f>
        <v>0</v>
      </c>
    </row>
    <row r="170" spans="3:6" x14ac:dyDescent="0.25">
      <c r="D170">
        <v>2063</v>
      </c>
      <c r="E170" t="s">
        <v>436</v>
      </c>
      <c r="F170" s="4">
        <f>HLOOKUP($E$4,'5.1 Bilan'!$F$3:$BF$226,165,0)</f>
        <v>3874321.95</v>
      </c>
    </row>
    <row r="171" spans="3:6" x14ac:dyDescent="0.25">
      <c r="D171">
        <v>2064</v>
      </c>
      <c r="E171" t="s">
        <v>457</v>
      </c>
      <c r="F171" s="4">
        <f>HLOOKUP($E$4,'5.1 Bilan'!$F$3:$BF$226,166,0)</f>
        <v>0</v>
      </c>
    </row>
    <row r="172" spans="3:6" x14ac:dyDescent="0.25">
      <c r="D172">
        <v>2067</v>
      </c>
      <c r="E172" t="s">
        <v>438</v>
      </c>
      <c r="F172" s="4">
        <f>HLOOKUP($E$4,'5.1 Bilan'!$F$3:$BF$226,167,0)</f>
        <v>0</v>
      </c>
    </row>
    <row r="173" spans="3:6" x14ac:dyDescent="0.25">
      <c r="D173">
        <v>2069</v>
      </c>
      <c r="E173" t="s">
        <v>439</v>
      </c>
      <c r="F173" s="4">
        <f>HLOOKUP($E$4,'5.1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HLOOKUP($E$4,'5.1 Bilan'!$F$3:$BF$226,171,0)</f>
        <v>0</v>
      </c>
    </row>
    <row r="177" spans="2:6" x14ac:dyDescent="0.25">
      <c r="D177">
        <v>2082</v>
      </c>
      <c r="E177" t="s">
        <v>441</v>
      </c>
      <c r="F177" s="4">
        <f>HLOOKUP($E$4,'5.1 Bilan'!$F$3:$BF$226,172,0)</f>
        <v>0</v>
      </c>
    </row>
    <row r="178" spans="2:6" x14ac:dyDescent="0.25">
      <c r="D178">
        <v>2083</v>
      </c>
      <c r="E178" t="s">
        <v>442</v>
      </c>
      <c r="F178" s="4">
        <f>HLOOKUP($E$4,'5.1 Bilan'!$F$3:$BF$226,173,0)</f>
        <v>0</v>
      </c>
    </row>
    <row r="179" spans="2:6" x14ac:dyDescent="0.25">
      <c r="D179">
        <v>2084</v>
      </c>
      <c r="E179" t="s">
        <v>443</v>
      </c>
      <c r="F179" s="4">
        <f>HLOOKUP($E$4,'5.1 Bilan'!$F$3:$BF$226,174,0)</f>
        <v>0</v>
      </c>
    </row>
    <row r="180" spans="2:6" x14ac:dyDescent="0.25">
      <c r="D180">
        <v>2085</v>
      </c>
      <c r="E180" t="s">
        <v>445</v>
      </c>
      <c r="F180" s="4">
        <f>HLOOKUP($E$4,'5.1 Bilan'!$F$3:$BF$226,175,0)</f>
        <v>0</v>
      </c>
    </row>
    <row r="181" spans="2:6" x14ac:dyDescent="0.25">
      <c r="D181">
        <v>2086</v>
      </c>
      <c r="E181" t="s">
        <v>444</v>
      </c>
      <c r="F181" s="4">
        <f>HLOOKUP($E$4,'5.1 Bilan'!$F$3:$BF$226,176,0)</f>
        <v>0</v>
      </c>
    </row>
    <row r="182" spans="2:6" x14ac:dyDescent="0.25">
      <c r="D182">
        <v>2087</v>
      </c>
      <c r="E182" t="s">
        <v>446</v>
      </c>
      <c r="F182" s="4">
        <f>HLOOKUP($E$4,'5.1 Bilan'!$F$3:$BF$226,177,0)</f>
        <v>0</v>
      </c>
    </row>
    <row r="183" spans="2:6" x14ac:dyDescent="0.25">
      <c r="D183">
        <v>2088</v>
      </c>
      <c r="E183" t="s">
        <v>447</v>
      </c>
      <c r="F183" s="4">
        <f>HLOOKUP($E$4,'5.1 Bilan'!$F$3:$BF$226,178,0)</f>
        <v>0</v>
      </c>
    </row>
    <row r="184" spans="2:6" x14ac:dyDescent="0.25">
      <c r="D184">
        <v>2089</v>
      </c>
      <c r="E184" t="s">
        <v>448</v>
      </c>
      <c r="F184" s="4">
        <f>HLOOKUP($E$4,'5.1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HLOOKUP($E$4,'5.1 Bilan'!$F$3:$BF$226,182,0)</f>
        <v>0</v>
      </c>
    </row>
    <row r="188" spans="2:6" x14ac:dyDescent="0.25">
      <c r="D188">
        <v>2091</v>
      </c>
      <c r="E188" t="s">
        <v>449</v>
      </c>
      <c r="F188" s="4">
        <f>HLOOKUP($E$4,'5.1 Bilan'!$F$3:$BF$226,183,0)</f>
        <v>0</v>
      </c>
    </row>
    <row r="189" spans="2:6" x14ac:dyDescent="0.25">
      <c r="D189">
        <v>2092</v>
      </c>
      <c r="E189" t="s">
        <v>450</v>
      </c>
      <c r="F189" s="4">
        <f>HLOOKUP($E$4,'5.1 Bilan'!$F$3:$BF$226,184,0)</f>
        <v>0</v>
      </c>
    </row>
    <row r="190" spans="2:6" x14ac:dyDescent="0.25">
      <c r="D190">
        <v>2093</v>
      </c>
      <c r="E190" t="s">
        <v>451</v>
      </c>
      <c r="F190" s="4">
        <f>HLOOKUP($E$4,'5.1 Bilan'!$F$3:$BF$226,185,0)</f>
        <v>0</v>
      </c>
    </row>
    <row r="191" spans="2:6" x14ac:dyDescent="0.25">
      <c r="F191" s="4"/>
    </row>
    <row r="192" spans="2:6" x14ac:dyDescent="0.25">
      <c r="B192" s="85">
        <v>29</v>
      </c>
      <c r="C192" s="85"/>
      <c r="D192" s="85"/>
      <c r="E192" s="85" t="s">
        <v>267</v>
      </c>
      <c r="F192" s="86">
        <f>HLOOKUP($E$4,'5.1 Bilan'!$F$3:$BF$226,187,0)</f>
        <v>1379198.75</v>
      </c>
    </row>
    <row r="193" spans="3:6" x14ac:dyDescent="0.25">
      <c r="C193" s="83">
        <v>290</v>
      </c>
      <c r="D193" s="83"/>
      <c r="E193" s="83" t="s">
        <v>268</v>
      </c>
      <c r="F193" s="84">
        <f>SUM(F194)</f>
        <v>760054.2</v>
      </c>
    </row>
    <row r="194" spans="3:6" x14ac:dyDescent="0.25">
      <c r="D194">
        <v>2900</v>
      </c>
      <c r="E194" t="s">
        <v>268</v>
      </c>
      <c r="F194" s="4">
        <f>HLOOKUP($E$4,'5.1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HLOOKUP($E$4,'5.1 Bilan'!$F$3:$BF$226,192,0)</f>
        <v>0</v>
      </c>
    </row>
    <row r="198" spans="3:6" x14ac:dyDescent="0.25">
      <c r="D198">
        <v>2911</v>
      </c>
      <c r="E198" t="s">
        <v>452</v>
      </c>
      <c r="F198" s="4">
        <f>HLOOKUP($E$4,'5.1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HLOOKUP($E$4,'5.1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HLOOKUP($E$4,'5.1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HLOOKUP($E$4,'5.1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HLOOKUP($E$4,'5.1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HLOOKUP($E$4,'5.1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HLOOKUP($E$4,'5.1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HLOOKUP($E$4,'5.1 Bilan'!$F$3:$BF$226,214,0)</f>
        <v>26545.08</v>
      </c>
    </row>
    <row r="220" spans="3:6" x14ac:dyDescent="0.25">
      <c r="D220">
        <v>2999</v>
      </c>
      <c r="E220" t="s">
        <v>595</v>
      </c>
      <c r="F220" s="4">
        <f>HLOOKUP($E$4,'5.1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HLOOKUP($E$4,'5.1 Bilan'!$F$3:$BF$226,218,0)</f>
        <v>41403.599999999999</v>
      </c>
    </row>
    <row r="224" spans="3:6" x14ac:dyDescent="0.25">
      <c r="D224">
        <v>2990</v>
      </c>
      <c r="E224" t="s">
        <v>605</v>
      </c>
      <c r="F224" s="4">
        <f>HLOOKUP($E$4,'5.1 Bilan'!$F$3:$BF$226,219,0)</f>
        <v>26545.08</v>
      </c>
    </row>
    <row r="225" spans="5:6" x14ac:dyDescent="0.25">
      <c r="F225" s="4"/>
    </row>
    <row r="226" spans="5:6" x14ac:dyDescent="0.25">
      <c r="E226" s="7" t="s">
        <v>604</v>
      </c>
      <c r="F226" s="4">
        <f>HLOOKUP($E$4,'5.1 Bilan'!$F$3:$BF$226,221,0)</f>
        <v>67948.679999999993</v>
      </c>
    </row>
    <row r="227" spans="5:6" x14ac:dyDescent="0.25">
      <c r="F227" s="4"/>
    </row>
    <row r="228" spans="5:6" x14ac:dyDescent="0.25">
      <c r="E228" s="60" t="s">
        <v>603</v>
      </c>
      <c r="F228" s="4">
        <f>HLOOKUP($E$4,'5.1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'5.1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'5.1 Bilan'!F5</f>
        <v>6025500.6899999995</v>
      </c>
      <c r="D7" s="101">
        <f>'5.1 Bilan'!G5</f>
        <v>1369739.14</v>
      </c>
      <c r="E7" s="101">
        <f>'5.1 Bilan'!H5</f>
        <v>4309212.78</v>
      </c>
      <c r="F7" s="101">
        <f>'5.1 Bilan'!I5</f>
        <v>4657259.62</v>
      </c>
      <c r="G7" s="101">
        <f>'5.1 Bilan'!J5</f>
        <v>15173301.85</v>
      </c>
      <c r="H7" s="101">
        <f>'5.1 Bilan'!K5</f>
        <v>8929891.379999999</v>
      </c>
      <c r="I7" s="101">
        <f>'5.1 Bilan'!L5</f>
        <v>10459838.139999999</v>
      </c>
      <c r="J7" s="101">
        <f>'5.1 Bilan'!M5</f>
        <v>48329637.409999996</v>
      </c>
      <c r="K7" s="101">
        <f>'5.1 Bilan'!N5</f>
        <v>4231787.96</v>
      </c>
      <c r="L7" s="101">
        <f>'5.1 Bilan'!O5</f>
        <v>401366.44</v>
      </c>
      <c r="M7" s="101">
        <f>'5.1 Bilan'!P5</f>
        <v>19270794.450000003</v>
      </c>
      <c r="N7" s="101">
        <f>'5.1 Bilan'!Q5</f>
        <v>2306934.9900000002</v>
      </c>
      <c r="O7" s="101">
        <f>'5.1 Bilan'!R5</f>
        <v>340332.25000000006</v>
      </c>
      <c r="P7" s="101">
        <f>'5.1 Bilan'!S5</f>
        <v>1454184.04</v>
      </c>
      <c r="Q7" s="101">
        <f>'5.1 Bilan'!T5</f>
        <v>2240322.35</v>
      </c>
      <c r="R7" s="101">
        <f>'5.1 Bilan'!U5</f>
        <v>5578034.3599999994</v>
      </c>
      <c r="S7" s="101">
        <f>'5.1 Bilan'!V5</f>
        <v>797906.42</v>
      </c>
      <c r="T7" s="101">
        <f>'5.1 Bilan'!W5</f>
        <v>2606499.7699999996</v>
      </c>
      <c r="U7" s="101">
        <f>'5.1 Bilan'!X5</f>
        <v>5690503.7400000002</v>
      </c>
      <c r="V7" s="101">
        <f>'5.1 Bilan'!Y5</f>
        <v>1782334.11</v>
      </c>
      <c r="W7" s="101">
        <f>'5.1 Bilan'!Z5</f>
        <v>4607305.3099999996</v>
      </c>
      <c r="X7" s="101">
        <f>'5.1 Bilan'!AA5</f>
        <v>22682781.649999999</v>
      </c>
      <c r="Y7" s="101">
        <f>'5.1 Bilan'!AB5</f>
        <v>514539.83999999997</v>
      </c>
      <c r="Z7" s="101">
        <f>'5.1 Bilan'!AC5</f>
        <v>1718422.2500000002</v>
      </c>
      <c r="AA7" s="101">
        <f>'5.1 Bilan'!AD5</f>
        <v>3153746.6100000003</v>
      </c>
      <c r="AB7" s="101">
        <f>'5.1 Bilan'!AE5</f>
        <v>3204642.4699999997</v>
      </c>
      <c r="AC7" s="101">
        <f>'5.1 Bilan'!AF5</f>
        <v>2898436.0999999996</v>
      </c>
      <c r="AD7" s="101">
        <f>'5.1 Bilan'!AG5</f>
        <v>4936104.3499999996</v>
      </c>
      <c r="AE7" s="101">
        <f>'5.1 Bilan'!AH5</f>
        <v>9508703.8300000001</v>
      </c>
      <c r="AF7" s="101">
        <f>'5.1 Bilan'!AI5</f>
        <v>10854436.879999999</v>
      </c>
      <c r="AG7" s="101">
        <f>'5.1 Bilan'!AJ5</f>
        <v>1895624.56</v>
      </c>
      <c r="AH7" s="101">
        <f>'5.1 Bilan'!AK5</f>
        <v>2296499.59</v>
      </c>
      <c r="AI7" s="101">
        <f>'5.1 Bilan'!AL5</f>
        <v>5395628.6899999995</v>
      </c>
      <c r="AJ7" s="101">
        <f>'5.1 Bilan'!AM5</f>
        <v>5311232.7699999996</v>
      </c>
      <c r="AK7" s="101">
        <f>'5.1 Bilan'!AN5</f>
        <v>5192149.76</v>
      </c>
      <c r="AL7" s="101">
        <f>'5.1 Bilan'!AO5</f>
        <v>945916.81999999983</v>
      </c>
      <c r="AM7" s="101">
        <f>'5.1 Bilan'!AP5</f>
        <v>14951876.23</v>
      </c>
      <c r="AN7" s="101">
        <f>'5.1 Bilan'!AQ5</f>
        <v>4059251.8099999996</v>
      </c>
      <c r="AO7" s="101">
        <f>'5.1 Bilan'!AR5</f>
        <v>3653483.9</v>
      </c>
      <c r="AP7" s="101">
        <f>'5.1 Bilan'!AS5</f>
        <v>12084593.449999999</v>
      </c>
      <c r="AQ7" s="101">
        <f>'5.1 Bilan'!AT5</f>
        <v>2583134</v>
      </c>
      <c r="AR7" s="101">
        <f>'5.1 Bilan'!AU5</f>
        <v>4268060.6800000006</v>
      </c>
      <c r="AS7" s="101">
        <f>'5.1 Bilan'!AV5</f>
        <v>3818782.6800000006</v>
      </c>
      <c r="AT7" s="101">
        <f>'5.1 Bilan'!AW5</f>
        <v>6505495.3100000005</v>
      </c>
      <c r="AU7" s="101">
        <f>'5.1 Bilan'!AX5</f>
        <v>3077294.9799999995</v>
      </c>
      <c r="AV7" s="101">
        <f>'5.1 Bilan'!AY5</f>
        <v>678851.45</v>
      </c>
      <c r="AW7" s="101">
        <f>'5.1 Bilan'!AZ5</f>
        <v>2359237.4</v>
      </c>
      <c r="AX7" s="101">
        <f>'5.1 Bilan'!BA5</f>
        <v>4869007.3099999996</v>
      </c>
      <c r="AY7" s="101">
        <f>'5.1 Bilan'!BB5</f>
        <v>3035892.37</v>
      </c>
      <c r="AZ7" s="101">
        <f>'5.1 Bilan'!BC5</f>
        <v>4691561.72</v>
      </c>
      <c r="BA7" s="101">
        <f>'5.1 Bilan'!BD5</f>
        <v>866228.97</v>
      </c>
      <c r="BB7" s="101">
        <f>'5.1 Bilan'!BE5</f>
        <v>30853239.349999994</v>
      </c>
      <c r="BC7" s="101">
        <f>'5.1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'5.1 Bilan'!F121</f>
        <v>9136260.5199999996</v>
      </c>
      <c r="D9" s="101">
        <f>'5.1 Bilan'!G121</f>
        <v>2523210.25</v>
      </c>
      <c r="E9" s="101">
        <f>'5.1 Bilan'!H121</f>
        <v>6461558.5199999996</v>
      </c>
      <c r="F9" s="101">
        <f>'5.1 Bilan'!I121</f>
        <v>4936358.18</v>
      </c>
      <c r="G9" s="101">
        <f>'5.1 Bilan'!J121</f>
        <v>26343468.57</v>
      </c>
      <c r="H9" s="101">
        <f>'5.1 Bilan'!K121</f>
        <v>25837679.66</v>
      </c>
      <c r="I9" s="101">
        <f>'5.1 Bilan'!L121</f>
        <v>11484688.109999999</v>
      </c>
      <c r="J9" s="101">
        <f>'5.1 Bilan'!M121</f>
        <v>139191397.21999997</v>
      </c>
      <c r="K9" s="101">
        <f>'5.1 Bilan'!N121</f>
        <v>7307071.8300000001</v>
      </c>
      <c r="L9" s="101">
        <f>'5.1 Bilan'!O121</f>
        <v>862038.84000000008</v>
      </c>
      <c r="M9" s="155">
        <f>'5.1 Bilan'!P121</f>
        <v>46214165.719999999</v>
      </c>
      <c r="N9" s="101">
        <f>'5.1 Bilan'!Q121</f>
        <v>3674228.8800000004</v>
      </c>
      <c r="O9" s="101">
        <f>'5.1 Bilan'!R121</f>
        <v>585366.75</v>
      </c>
      <c r="P9" s="101">
        <f>'5.1 Bilan'!S121</f>
        <v>3329882.66</v>
      </c>
      <c r="Q9" s="101">
        <f>'5.1 Bilan'!T121</f>
        <v>4328768.28</v>
      </c>
      <c r="R9" s="101">
        <f>'5.1 Bilan'!U121</f>
        <v>5783474.6900000004</v>
      </c>
      <c r="S9" s="101">
        <f>'5.1 Bilan'!V121</f>
        <v>1064577.6300000001</v>
      </c>
      <c r="T9" s="101">
        <f>'5.1 Bilan'!W121</f>
        <v>4351613.58</v>
      </c>
      <c r="U9" s="101">
        <f>'5.1 Bilan'!X121</f>
        <v>16521169.08</v>
      </c>
      <c r="V9" s="101">
        <f>'5.1 Bilan'!Y121</f>
        <v>701823.61</v>
      </c>
      <c r="W9" s="101">
        <f>'5.1 Bilan'!Z121</f>
        <v>12393883.23</v>
      </c>
      <c r="X9" s="101">
        <f>'5.1 Bilan'!AA121</f>
        <v>13352559.84</v>
      </c>
      <c r="Y9" s="101">
        <f>'5.1 Bilan'!AB121</f>
        <v>650530.85</v>
      </c>
      <c r="Z9" s="101">
        <f>'5.1 Bilan'!AC121</f>
        <v>1324155.57</v>
      </c>
      <c r="AA9" s="101">
        <f>'5.1 Bilan'!AD121</f>
        <v>3949290.9899999998</v>
      </c>
      <c r="AB9" s="101">
        <f>'5.1 Bilan'!AE121</f>
        <v>8603148.8800000008</v>
      </c>
      <c r="AC9" s="101">
        <f>'5.1 Bilan'!AF121</f>
        <v>4184157.13</v>
      </c>
      <c r="AD9" s="101">
        <f>'5.1 Bilan'!AG121</f>
        <v>1835141.4</v>
      </c>
      <c r="AE9" s="101">
        <f>'5.1 Bilan'!AH121</f>
        <v>8867147.3900000006</v>
      </c>
      <c r="AF9" s="101">
        <f>'5.1 Bilan'!AI121</f>
        <v>21041584.219999999</v>
      </c>
      <c r="AG9" s="101">
        <f>'5.1 Bilan'!AJ121</f>
        <v>1776842.86</v>
      </c>
      <c r="AH9" s="101">
        <f>'5.1 Bilan'!AK121</f>
        <v>1181704</v>
      </c>
      <c r="AI9" s="101">
        <f>'5.1 Bilan'!AL121</f>
        <v>17629904.52</v>
      </c>
      <c r="AJ9" s="101">
        <f>'5.1 Bilan'!AM121</f>
        <v>10327486.98</v>
      </c>
      <c r="AK9" s="101">
        <f>'5.1 Bilan'!AN121</f>
        <v>11723916.060000002</v>
      </c>
      <c r="AL9" s="101">
        <f>'5.1 Bilan'!AO121</f>
        <v>2118226.58</v>
      </c>
      <c r="AM9" s="101">
        <f>'5.1 Bilan'!AP121</f>
        <v>11108782.970000001</v>
      </c>
      <c r="AN9" s="101">
        <f>'5.1 Bilan'!AQ121</f>
        <v>5278048.49</v>
      </c>
      <c r="AO9" s="101">
        <f>'5.1 Bilan'!AR121</f>
        <v>4581585.83</v>
      </c>
      <c r="AP9" s="101">
        <f>'5.1 Bilan'!AS121</f>
        <v>10511435.380000001</v>
      </c>
      <c r="AQ9" s="101">
        <f>'5.1 Bilan'!AT121</f>
        <v>5932741.29</v>
      </c>
      <c r="AR9" s="101">
        <f>'5.1 Bilan'!AU121</f>
        <v>8541645.5500000007</v>
      </c>
      <c r="AS9" s="101">
        <f>'5.1 Bilan'!AV121</f>
        <v>2009618.6500000001</v>
      </c>
      <c r="AT9" s="101">
        <f>'5.1 Bilan'!AW121</f>
        <v>14597972.57</v>
      </c>
      <c r="AU9" s="101">
        <f>'5.1 Bilan'!AX121</f>
        <v>6019600.25</v>
      </c>
      <c r="AV9" s="101">
        <f>'5.1 Bilan'!AY121</f>
        <v>982153.85</v>
      </c>
      <c r="AW9" s="101">
        <f>'5.1 Bilan'!AZ121</f>
        <v>2330422.44</v>
      </c>
      <c r="AX9" s="101">
        <f>'5.1 Bilan'!BA121</f>
        <v>21035834.379999999</v>
      </c>
      <c r="AY9" s="101">
        <f>'5.1 Bilan'!BB121</f>
        <v>1750180.59</v>
      </c>
      <c r="AZ9" s="101">
        <f>'5.1 Bilan'!BC121</f>
        <v>10648246.140000001</v>
      </c>
      <c r="BA9" s="101">
        <f>'5.1 Bilan'!BD121</f>
        <v>295678.96000000002</v>
      </c>
      <c r="BB9" s="101">
        <f>'5.1 Bilan'!BE121</f>
        <v>69383333.870000005</v>
      </c>
      <c r="BC9" s="101">
        <f>'5.1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'5.1 Bilan'!F122</f>
        <v>3771.65</v>
      </c>
      <c r="D11" s="101">
        <f>'5.1 Bilan'!G122</f>
        <v>44599</v>
      </c>
      <c r="E11" s="101">
        <f>'5.1 Bilan'!H122</f>
        <v>112759.55</v>
      </c>
      <c r="F11" s="101">
        <f>'5.1 Bilan'!I122</f>
        <v>235227.35</v>
      </c>
      <c r="G11" s="101">
        <f>'5.1 Bilan'!J122</f>
        <v>600201.06999999995</v>
      </c>
      <c r="H11" s="101">
        <f>'5.1 Bilan'!K122</f>
        <v>1247071.52</v>
      </c>
      <c r="I11" s="101">
        <f>'5.1 Bilan'!L122</f>
        <v>201552.2</v>
      </c>
      <c r="J11" s="101">
        <f>'5.1 Bilan'!M122</f>
        <v>9604614.6600000001</v>
      </c>
      <c r="K11" s="101">
        <f>'5.1 Bilan'!N122</f>
        <v>409615.93</v>
      </c>
      <c r="L11" s="101">
        <f>'5.1 Bilan'!O122</f>
        <v>0</v>
      </c>
      <c r="M11" s="101">
        <f>'5.1 Bilan'!P122</f>
        <v>1453277.2199999997</v>
      </c>
      <c r="N11" s="101">
        <f>'5.1 Bilan'!Q122</f>
        <v>97190.07</v>
      </c>
      <c r="O11" s="101">
        <f>'5.1 Bilan'!R122</f>
        <v>25537.75</v>
      </c>
      <c r="P11" s="101">
        <f>'5.1 Bilan'!S122</f>
        <v>266808.40999999997</v>
      </c>
      <c r="Q11" s="101">
        <f>'5.1 Bilan'!T122</f>
        <v>563608.91</v>
      </c>
      <c r="R11" s="101">
        <f>'5.1 Bilan'!U122</f>
        <v>394276.37</v>
      </c>
      <c r="S11" s="101">
        <f>'5.1 Bilan'!V122</f>
        <v>213190.62</v>
      </c>
      <c r="T11" s="101">
        <f>'5.1 Bilan'!W122</f>
        <v>221716.44999999998</v>
      </c>
      <c r="U11" s="101">
        <f>'5.1 Bilan'!X122</f>
        <v>2071297.1199999999</v>
      </c>
      <c r="V11" s="101">
        <f>'5.1 Bilan'!Y122</f>
        <v>0</v>
      </c>
      <c r="W11" s="101">
        <f>'5.1 Bilan'!Z122</f>
        <v>8866789.9800000004</v>
      </c>
      <c r="X11" s="101">
        <f>'5.1 Bilan'!AA122</f>
        <v>3389024.96</v>
      </c>
      <c r="Y11" s="101">
        <f>'5.1 Bilan'!AB122</f>
        <v>33957.25</v>
      </c>
      <c r="Z11" s="101">
        <f>'5.1 Bilan'!AC122</f>
        <v>31444.129999999997</v>
      </c>
      <c r="AA11" s="101">
        <f>'5.1 Bilan'!AD122</f>
        <v>287157.11</v>
      </c>
      <c r="AB11" s="101">
        <f>'5.1 Bilan'!AE122</f>
        <v>667667.15</v>
      </c>
      <c r="AC11" s="101">
        <f>'5.1 Bilan'!AF122</f>
        <v>0</v>
      </c>
      <c r="AD11" s="101">
        <f>'5.1 Bilan'!AG122</f>
        <v>163650.84999999998</v>
      </c>
      <c r="AE11" s="101">
        <f>'5.1 Bilan'!AH122</f>
        <v>1264494.6400000001</v>
      </c>
      <c r="AF11" s="101">
        <f>'5.1 Bilan'!AI122</f>
        <v>283596.94999999995</v>
      </c>
      <c r="AG11" s="101">
        <f>'5.1 Bilan'!AJ122</f>
        <v>613599.80000000005</v>
      </c>
      <c r="AH11" s="101">
        <f>'5.1 Bilan'!AK122</f>
        <v>43246.05</v>
      </c>
      <c r="AI11" s="101">
        <f>'5.1 Bilan'!AL122</f>
        <v>341959.9</v>
      </c>
      <c r="AJ11" s="101">
        <f>'5.1 Bilan'!AM122</f>
        <v>16414.79</v>
      </c>
      <c r="AK11" s="101">
        <f>'5.1 Bilan'!AN122</f>
        <v>228127.4</v>
      </c>
      <c r="AL11" s="101">
        <f>'5.1 Bilan'!AO122</f>
        <v>30726.94</v>
      </c>
      <c r="AM11" s="101">
        <f>'5.1 Bilan'!AP122</f>
        <v>1175364.1000000001</v>
      </c>
      <c r="AN11" s="101">
        <f>'5.1 Bilan'!AQ122</f>
        <v>422314.19</v>
      </c>
      <c r="AO11" s="101">
        <f>'5.1 Bilan'!AR122</f>
        <v>135767.88</v>
      </c>
      <c r="AP11" s="101">
        <f>'5.1 Bilan'!AS122</f>
        <v>322954.8</v>
      </c>
      <c r="AQ11" s="101">
        <f>'5.1 Bilan'!AT122</f>
        <v>362403.69</v>
      </c>
      <c r="AR11" s="101">
        <f>'5.1 Bilan'!AU122</f>
        <v>315891.65999999997</v>
      </c>
      <c r="AS11" s="101">
        <f>'5.1 Bilan'!AV122</f>
        <v>47182.1</v>
      </c>
      <c r="AT11" s="101">
        <f>'5.1 Bilan'!AW122</f>
        <v>526840.46</v>
      </c>
      <c r="AU11" s="101">
        <f>'5.1 Bilan'!AX122</f>
        <v>125306.3</v>
      </c>
      <c r="AV11" s="101">
        <f>'5.1 Bilan'!AY122</f>
        <v>18759.349999999999</v>
      </c>
      <c r="AW11" s="101">
        <f>'5.1 Bilan'!AZ122</f>
        <v>158646.04999999999</v>
      </c>
      <c r="AX11" s="101">
        <f>'5.1 Bilan'!BA122</f>
        <v>1392297.75</v>
      </c>
      <c r="AY11" s="101">
        <f>'5.1 Bilan'!BB122</f>
        <v>34063.440000000002</v>
      </c>
      <c r="AZ11" s="101">
        <f>'5.1 Bilan'!BC122</f>
        <v>1010318.05</v>
      </c>
      <c r="BA11" s="101">
        <f>'5.1 Bilan'!BD122</f>
        <v>57543.880000000005</v>
      </c>
      <c r="BB11" s="101">
        <f>'5.1 Bilan'!BE122</f>
        <v>2286095.0300000003</v>
      </c>
      <c r="BC11" s="101">
        <f>'5.1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'5.1 Bilan'!F132</f>
        <v>3909040.7600000002</v>
      </c>
      <c r="D13" s="101">
        <f>'5.1 Bilan'!G132</f>
        <v>112700</v>
      </c>
      <c r="E13" s="101">
        <f>'5.1 Bilan'!H132</f>
        <v>180090.75</v>
      </c>
      <c r="F13" s="101">
        <f>'5.1 Bilan'!I132</f>
        <v>352998.32999999996</v>
      </c>
      <c r="G13" s="101">
        <f>'5.1 Bilan'!J132</f>
        <v>4511771.7</v>
      </c>
      <c r="H13" s="101">
        <f>'5.1 Bilan'!K132</f>
        <v>5916914</v>
      </c>
      <c r="I13" s="101">
        <f>'5.1 Bilan'!L132</f>
        <v>0</v>
      </c>
      <c r="J13" s="101">
        <f>'5.1 Bilan'!M132</f>
        <v>49004578.5</v>
      </c>
      <c r="K13" s="101">
        <f>'5.1 Bilan'!N132</f>
        <v>267000</v>
      </c>
      <c r="L13" s="101">
        <f>'5.1 Bilan'!O132</f>
        <v>0</v>
      </c>
      <c r="M13" s="101">
        <f>'5.1 Bilan'!P132</f>
        <v>12857311.639999999</v>
      </c>
      <c r="N13" s="101">
        <f>'5.1 Bilan'!Q132</f>
        <v>1264473.8700000001</v>
      </c>
      <c r="O13" s="101">
        <f>'5.1 Bilan'!R132</f>
        <v>125256.5</v>
      </c>
      <c r="P13" s="101">
        <f>'5.1 Bilan'!S132</f>
        <v>0</v>
      </c>
      <c r="Q13" s="101">
        <f>'5.1 Bilan'!T132</f>
        <v>2512156.62</v>
      </c>
      <c r="R13" s="101">
        <f>'5.1 Bilan'!U132</f>
        <v>0</v>
      </c>
      <c r="S13" s="101">
        <f>'5.1 Bilan'!V132</f>
        <v>160308.08000000002</v>
      </c>
      <c r="T13" s="101">
        <f>'5.1 Bilan'!W132</f>
        <v>1963055.37</v>
      </c>
      <c r="U13" s="101">
        <f>'5.1 Bilan'!X132</f>
        <v>-76048.84</v>
      </c>
      <c r="V13" s="101">
        <f>'5.1 Bilan'!Y132</f>
        <v>63507.4</v>
      </c>
      <c r="W13" s="101">
        <f>'5.1 Bilan'!Z132</f>
        <v>0</v>
      </c>
      <c r="X13" s="101">
        <f>'5.1 Bilan'!AA132</f>
        <v>0</v>
      </c>
      <c r="Y13" s="101">
        <f>'5.1 Bilan'!AB132</f>
        <v>0</v>
      </c>
      <c r="Z13" s="101">
        <f>'5.1 Bilan'!AC132</f>
        <v>0</v>
      </c>
      <c r="AA13" s="101">
        <f>'5.1 Bilan'!AD132</f>
        <v>795091.5</v>
      </c>
      <c r="AB13" s="101">
        <f>'5.1 Bilan'!AE132</f>
        <v>87760.01</v>
      </c>
      <c r="AC13" s="101">
        <f>'5.1 Bilan'!AF132</f>
        <v>195428.94</v>
      </c>
      <c r="AD13" s="101">
        <f>'5.1 Bilan'!AG132</f>
        <v>484090.64999999997</v>
      </c>
      <c r="AE13" s="101">
        <f>'5.1 Bilan'!AH132</f>
        <v>1436720.75</v>
      </c>
      <c r="AF13" s="101">
        <f>'5.1 Bilan'!AI132</f>
        <v>7465503.8499999996</v>
      </c>
      <c r="AG13" s="101">
        <f>'5.1 Bilan'!AJ132</f>
        <v>64804.639999999999</v>
      </c>
      <c r="AH13" s="101">
        <f>'5.1 Bilan'!AK132</f>
        <v>148300</v>
      </c>
      <c r="AI13" s="101">
        <f>'5.1 Bilan'!AL132</f>
        <v>0</v>
      </c>
      <c r="AJ13" s="101">
        <f>'5.1 Bilan'!AM132</f>
        <v>1134925.8399999999</v>
      </c>
      <c r="AK13" s="101">
        <f>'5.1 Bilan'!AN132</f>
        <v>438479.73</v>
      </c>
      <c r="AL13" s="101">
        <f>'5.1 Bilan'!AO132</f>
        <v>0</v>
      </c>
      <c r="AM13" s="101">
        <f>'5.1 Bilan'!AP132</f>
        <v>1000000</v>
      </c>
      <c r="AN13" s="101">
        <f>'5.1 Bilan'!AQ132</f>
        <v>50050</v>
      </c>
      <c r="AO13" s="101">
        <f>'5.1 Bilan'!AR132</f>
        <v>334240</v>
      </c>
      <c r="AP13" s="101">
        <f>'5.1 Bilan'!AS132</f>
        <v>524000</v>
      </c>
      <c r="AQ13" s="101">
        <f>'5.1 Bilan'!AT132</f>
        <v>333359.06</v>
      </c>
      <c r="AR13" s="101">
        <f>'5.1 Bilan'!AU132</f>
        <v>276059</v>
      </c>
      <c r="AS13" s="101">
        <f>'5.1 Bilan'!AV132</f>
        <v>19300</v>
      </c>
      <c r="AT13" s="101">
        <f>'5.1 Bilan'!AW132</f>
        <v>0</v>
      </c>
      <c r="AU13" s="101">
        <f>'5.1 Bilan'!AX132</f>
        <v>1227600</v>
      </c>
      <c r="AV13" s="101">
        <f>'5.1 Bilan'!AY132</f>
        <v>0</v>
      </c>
      <c r="AW13" s="101">
        <f>'5.1 Bilan'!AZ132</f>
        <v>235243.64</v>
      </c>
      <c r="AX13" s="101">
        <f>'5.1 Bilan'!BA132</f>
        <v>530829.82999999996</v>
      </c>
      <c r="AY13" s="101">
        <f>'5.1 Bilan'!BB132</f>
        <v>772673.41</v>
      </c>
      <c r="AZ13" s="101">
        <f>'5.1 Bilan'!BC132</f>
        <v>988442.09</v>
      </c>
      <c r="BA13" s="101">
        <f>'5.1 Bilan'!BD132</f>
        <v>0</v>
      </c>
      <c r="BB13" s="101">
        <f>'5.1 Bilan'!BE132</f>
        <v>10110840.08</v>
      </c>
      <c r="BC13" s="101">
        <f>'5.1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'5.1 Bilan'!F164</f>
        <v>4874949.96</v>
      </c>
      <c r="D15" s="101">
        <f>'5.1 Bilan'!G164</f>
        <v>2330502.85</v>
      </c>
      <c r="E15" s="101">
        <f>'5.1 Bilan'!H164</f>
        <v>5359040</v>
      </c>
      <c r="F15" s="101">
        <f>'5.1 Bilan'!I164</f>
        <v>3992448.21</v>
      </c>
      <c r="G15" s="101">
        <f>'5.1 Bilan'!J164</f>
        <v>20219956.25</v>
      </c>
      <c r="H15" s="101">
        <f>'5.1 Bilan'!K164</f>
        <v>16975600</v>
      </c>
      <c r="I15" s="101">
        <f>'5.1 Bilan'!L164</f>
        <v>10391906.689999999</v>
      </c>
      <c r="J15" s="101">
        <f>'5.1 Bilan'!M164</f>
        <v>74043576.549999997</v>
      </c>
      <c r="K15" s="101">
        <f>'5.1 Bilan'!N164</f>
        <v>6416829.75</v>
      </c>
      <c r="L15" s="101">
        <f>'5.1 Bilan'!O164</f>
        <v>825716.9</v>
      </c>
      <c r="M15" s="101">
        <f>'5.1 Bilan'!P164</f>
        <v>30426335.699999999</v>
      </c>
      <c r="N15" s="101">
        <f>'5.1 Bilan'!Q164</f>
        <v>1797463.35</v>
      </c>
      <c r="O15" s="101">
        <f>'5.1 Bilan'!R164</f>
        <v>385600</v>
      </c>
      <c r="P15" s="101">
        <f>'5.1 Bilan'!S164</f>
        <v>3046722.25</v>
      </c>
      <c r="Q15" s="101">
        <f>'5.1 Bilan'!T164</f>
        <v>1129011</v>
      </c>
      <c r="R15" s="101">
        <f>'5.1 Bilan'!U164</f>
        <v>5103900</v>
      </c>
      <c r="S15" s="101">
        <f>'5.1 Bilan'!V164</f>
        <v>564750</v>
      </c>
      <c r="T15" s="101">
        <f>'5.1 Bilan'!W164</f>
        <v>1959468.1</v>
      </c>
      <c r="U15" s="101">
        <f>'5.1 Bilan'!X164</f>
        <v>13434310</v>
      </c>
      <c r="V15" s="101">
        <f>'5.1 Bilan'!Y164</f>
        <v>504064</v>
      </c>
      <c r="W15" s="101">
        <f>'5.1 Bilan'!Z164</f>
        <v>3210200</v>
      </c>
      <c r="X15" s="101">
        <f>'5.1 Bilan'!AA164</f>
        <v>4729200</v>
      </c>
      <c r="Y15" s="101">
        <f>'5.1 Bilan'!AB164</f>
        <v>610190</v>
      </c>
      <c r="Z15" s="101">
        <f>'5.1 Bilan'!AC164</f>
        <v>1200000</v>
      </c>
      <c r="AA15" s="101">
        <f>'5.1 Bilan'!AD164</f>
        <v>2672245</v>
      </c>
      <c r="AB15" s="101">
        <f>'5.1 Bilan'!AE164</f>
        <v>7824482.2800000003</v>
      </c>
      <c r="AC15" s="101">
        <f>'5.1 Bilan'!AF164</f>
        <v>3642000</v>
      </c>
      <c r="AD15" s="101">
        <f>'5.1 Bilan'!AG164</f>
        <v>515000</v>
      </c>
      <c r="AE15" s="101">
        <f>'5.1 Bilan'!AH164</f>
        <v>5331400</v>
      </c>
      <c r="AF15" s="101">
        <f>'5.1 Bilan'!AI164</f>
        <v>11523397.299999999</v>
      </c>
      <c r="AG15" s="101">
        <f>'5.1 Bilan'!AJ164</f>
        <v>912417.62</v>
      </c>
      <c r="AH15" s="101">
        <f>'5.1 Bilan'!AK164</f>
        <v>971910</v>
      </c>
      <c r="AI15" s="101">
        <f>'5.1 Bilan'!AL164</f>
        <v>17252944.620000001</v>
      </c>
      <c r="AJ15" s="101">
        <f>'5.1 Bilan'!AM164</f>
        <v>8541150</v>
      </c>
      <c r="AK15" s="101">
        <f>'5.1 Bilan'!AN164</f>
        <v>10805793.380000001</v>
      </c>
      <c r="AL15" s="101">
        <f>'5.1 Bilan'!AO164</f>
        <v>1600000</v>
      </c>
      <c r="AM15" s="101">
        <f>'5.1 Bilan'!AP164</f>
        <v>8720525</v>
      </c>
      <c r="AN15" s="101">
        <f>'5.1 Bilan'!AQ164</f>
        <v>4736229.05</v>
      </c>
      <c r="AO15" s="101">
        <f>'5.1 Bilan'!AR164</f>
        <v>3968985</v>
      </c>
      <c r="AP15" s="101">
        <f>'5.1 Bilan'!AS164</f>
        <v>9226404.7300000004</v>
      </c>
      <c r="AQ15" s="101">
        <f>'5.1 Bilan'!AT164</f>
        <v>5073767.0999999996</v>
      </c>
      <c r="AR15" s="101">
        <f>'5.1 Bilan'!AU164</f>
        <v>7532739.1200000001</v>
      </c>
      <c r="AS15" s="101">
        <f>'5.1 Bilan'!AV164</f>
        <v>1825965</v>
      </c>
      <c r="AT15" s="101">
        <f>'5.1 Bilan'!AW164</f>
        <v>13357775</v>
      </c>
      <c r="AU15" s="101">
        <f>'5.1 Bilan'!AX164</f>
        <v>4368892</v>
      </c>
      <c r="AV15" s="101">
        <f>'5.1 Bilan'!AY164</f>
        <v>676480</v>
      </c>
      <c r="AW15" s="101">
        <f>'5.1 Bilan'!AZ164</f>
        <v>1825900</v>
      </c>
      <c r="AX15" s="101">
        <f>'5.1 Bilan'!BA164</f>
        <v>18661404.399999999</v>
      </c>
      <c r="AY15" s="101">
        <f>'5.1 Bilan'!BB164</f>
        <v>871280</v>
      </c>
      <c r="AZ15" s="101">
        <f>'5.1 Bilan'!BC164</f>
        <v>8226220</v>
      </c>
      <c r="BA15" s="101">
        <f>'5.1 Bilan'!BD164</f>
        <v>148745.70000000001</v>
      </c>
      <c r="BB15" s="101">
        <f>'5.1 Bilan'!BE164</f>
        <v>54697562</v>
      </c>
      <c r="BC15" s="101">
        <f>'5.1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'5.1 Bilan'!F139</f>
        <v>0</v>
      </c>
      <c r="D17" s="101">
        <f>'5.1 Bilan'!G139</f>
        <v>0</v>
      </c>
      <c r="E17" s="101">
        <f>'5.1 Bilan'!H139</f>
        <v>0</v>
      </c>
      <c r="F17" s="101">
        <f>'5.1 Bilan'!I139</f>
        <v>0</v>
      </c>
      <c r="G17" s="101">
        <f>'5.1 Bilan'!J139</f>
        <v>0</v>
      </c>
      <c r="H17" s="101">
        <f>'5.1 Bilan'!K139</f>
        <v>0</v>
      </c>
      <c r="I17" s="101">
        <f>'5.1 Bilan'!L139</f>
        <v>0</v>
      </c>
      <c r="J17" s="101">
        <f>'5.1 Bilan'!M139</f>
        <v>0</v>
      </c>
      <c r="K17" s="101">
        <f>'5.1 Bilan'!N139</f>
        <v>0</v>
      </c>
      <c r="L17" s="101">
        <f>'5.1 Bilan'!O139</f>
        <v>0</v>
      </c>
      <c r="M17" s="101">
        <f>'5.1 Bilan'!P139</f>
        <v>0</v>
      </c>
      <c r="N17" s="101">
        <f>'5.1 Bilan'!Q139</f>
        <v>0</v>
      </c>
      <c r="O17" s="101">
        <f>'5.1 Bilan'!R139</f>
        <v>0</v>
      </c>
      <c r="P17" s="101">
        <f>'5.1 Bilan'!S139</f>
        <v>0</v>
      </c>
      <c r="Q17" s="101">
        <f>'5.1 Bilan'!T139</f>
        <v>0</v>
      </c>
      <c r="R17" s="101">
        <f>'5.1 Bilan'!U139</f>
        <v>0</v>
      </c>
      <c r="S17" s="101">
        <f>'5.1 Bilan'!V139</f>
        <v>0</v>
      </c>
      <c r="T17" s="101">
        <f>'5.1 Bilan'!W139</f>
        <v>0</v>
      </c>
      <c r="U17" s="101">
        <f>'5.1 Bilan'!X139</f>
        <v>0</v>
      </c>
      <c r="V17" s="101">
        <f>'5.1 Bilan'!Y139</f>
        <v>0</v>
      </c>
      <c r="W17" s="101">
        <f>'5.1 Bilan'!Z139</f>
        <v>0</v>
      </c>
      <c r="X17" s="101">
        <f>'5.1 Bilan'!AA139</f>
        <v>0</v>
      </c>
      <c r="Y17" s="101">
        <f>'5.1 Bilan'!AB139</f>
        <v>0</v>
      </c>
      <c r="Z17" s="101">
        <f>'5.1 Bilan'!AC139</f>
        <v>0</v>
      </c>
      <c r="AA17" s="101">
        <f>'5.1 Bilan'!AD139</f>
        <v>0</v>
      </c>
      <c r="AB17" s="101">
        <f>'5.1 Bilan'!AE139</f>
        <v>0</v>
      </c>
      <c r="AC17" s="101">
        <f>'5.1 Bilan'!AF139</f>
        <v>0</v>
      </c>
      <c r="AD17" s="101">
        <f>'5.1 Bilan'!AG139</f>
        <v>0</v>
      </c>
      <c r="AE17" s="101">
        <f>'5.1 Bilan'!AH139</f>
        <v>0</v>
      </c>
      <c r="AF17" s="101">
        <f>'5.1 Bilan'!AI139</f>
        <v>0</v>
      </c>
      <c r="AG17" s="101">
        <f>'5.1 Bilan'!AJ139</f>
        <v>0</v>
      </c>
      <c r="AH17" s="101">
        <f>'5.1 Bilan'!AK139</f>
        <v>0</v>
      </c>
      <c r="AI17" s="101">
        <f>'5.1 Bilan'!AL139</f>
        <v>0</v>
      </c>
      <c r="AJ17" s="101">
        <f>'5.1 Bilan'!AM139</f>
        <v>0</v>
      </c>
      <c r="AK17" s="101">
        <f>'5.1 Bilan'!AN139</f>
        <v>0</v>
      </c>
      <c r="AL17" s="101">
        <f>'5.1 Bilan'!AO139</f>
        <v>0</v>
      </c>
      <c r="AM17" s="101">
        <f>'5.1 Bilan'!AP139</f>
        <v>0</v>
      </c>
      <c r="AN17" s="101">
        <f>'5.1 Bilan'!AQ139</f>
        <v>0</v>
      </c>
      <c r="AO17" s="101">
        <f>'5.1 Bilan'!AR139</f>
        <v>0</v>
      </c>
      <c r="AP17" s="101">
        <f>'5.1 Bilan'!AS139</f>
        <v>0</v>
      </c>
      <c r="AQ17" s="101">
        <f>'5.1 Bilan'!AT139</f>
        <v>0</v>
      </c>
      <c r="AR17" s="101">
        <f>'5.1 Bilan'!AU139</f>
        <v>0</v>
      </c>
      <c r="AS17" s="101">
        <f>'5.1 Bilan'!AV139</f>
        <v>0</v>
      </c>
      <c r="AT17" s="101">
        <f>'5.1 Bilan'!AW139</f>
        <v>0</v>
      </c>
      <c r="AU17" s="101">
        <f>'5.1 Bilan'!AX139</f>
        <v>0</v>
      </c>
      <c r="AV17" s="101">
        <f>'5.1 Bilan'!AY139</f>
        <v>0</v>
      </c>
      <c r="AW17" s="101">
        <f>'5.1 Bilan'!AZ139</f>
        <v>0</v>
      </c>
      <c r="AX17" s="101">
        <f>'5.1 Bilan'!BA139</f>
        <v>0</v>
      </c>
      <c r="AY17" s="101">
        <f>'5.1 Bilan'!BB139</f>
        <v>0</v>
      </c>
      <c r="AZ17" s="101">
        <f>'5.1 Bilan'!BC139</f>
        <v>0</v>
      </c>
      <c r="BA17" s="101">
        <f>'5.1 Bilan'!BD139</f>
        <v>0</v>
      </c>
      <c r="BB17" s="101">
        <f>'5.1 Bilan'!BE139</f>
        <v>0</v>
      </c>
      <c r="BC17" s="101">
        <f>'5.1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5.1 Bilan</vt:lpstr>
      <vt:lpstr>5.3 Bilan par commune</vt:lpstr>
      <vt:lpstr>5.2 Tableau bilan</vt:lpstr>
      <vt:lpstr>5.1.1Graphique capitaux propres</vt:lpstr>
      <vt:lpstr>5.4 Tableau de l'endettement</vt:lpstr>
      <vt:lpstr>5.4.1Graphique de l'endettement</vt:lpstr>
      <vt:lpstr>5.5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2022-06-14T05:36:48Z</dcterms:modified>
</cp:coreProperties>
</file>