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bookViews>
    <workbookView xWindow="0" yWindow="0" windowWidth="28800" windowHeight="12375" firstSheet="25" activeTab="25"/>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state="hidden" r:id="rId7"/>
    <sheet name="4.9 Comptes 2020 par habitant" sheetId="29" state="hidden" r:id="rId8"/>
    <sheet name="4.10 Comptes 2020 Hab. par com" sheetId="49" state="hidden" r:id="rId9"/>
    <sheet name="4.5 Vue d'ensemble" sheetId="26" state="hidden" r:id="rId10"/>
    <sheet name="4.6 Vue par commune" sheetId="44" state="hidden" r:id="rId11"/>
    <sheet name="4.3 Résultats à 3 niveaux" sheetId="25" state="hidden" r:id="rId12"/>
    <sheet name="4.4 Résultats à 3 par commune" sheetId="45" state="hidden" r:id="rId13"/>
    <sheet name="4.7 Autofinancement" sheetId="27" state="hidden" r:id="rId14"/>
    <sheet name="4.8 Autofinancement par commune" sheetId="46" state="hidden" r:id="rId15"/>
    <sheet name="4.11 Comptes 2020 fonctionnelle" sheetId="22" state="hidden" r:id="rId16"/>
    <sheet name="4.12 Fonctionnelle par commune" sheetId="50" state="hidden" r:id="rId17"/>
    <sheet name="Tableau fonctionnelle" sheetId="30" state="hidden" r:id="rId18"/>
    <sheet name="4.12.1 et 2 Graph par fonction" sheetId="81" state="hidden" r:id="rId19"/>
    <sheet name="5.1 Bilan" sheetId="24" state="hidden" r:id="rId20"/>
    <sheet name="5.3 Bilan par commune" sheetId="51" state="hidden" r:id="rId21"/>
    <sheet name="5.2 Tableau bilan" sheetId="31" state="hidden" r:id="rId22"/>
    <sheet name="5.1.2Graphique capitaux propres" sheetId="83" state="hidden" r:id="rId23"/>
    <sheet name="5.4 Tableau de l'endettement" sheetId="32" state="hidden" r:id="rId24"/>
    <sheet name="5.4.1Graphique de l'endettement" sheetId="82" state="hidden" r:id="rId25"/>
    <sheet name="5.5 Endettement par commune" sheetId="52" r:id="rId26"/>
    <sheet name="6. Investissements" sheetId="34" state="hidden" r:id="rId27"/>
    <sheet name="6.1 Investissements par commune" sheetId="53" state="hidden" r:id="rId28"/>
    <sheet name="Définition des indicateurs" sheetId="54" state="hidden" r:id="rId29"/>
    <sheet name="Base de données indicateurs1" sheetId="42" state="hidden" r:id="rId30"/>
    <sheet name="Endett. net + degré d'auto." sheetId="35" state="hidden" r:id="rId31"/>
    <sheet name="Quotité d'intéret + revenus det" sheetId="36" state="hidden" r:id="rId32"/>
    <sheet name="Quotité d'invest + fin." sheetId="37" state="hidden" r:id="rId33"/>
    <sheet name="Quotité d'autofinancement" sheetId="38" state="hidden"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C12" i="60" s="1"/>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C8" i="60" s="1"/>
  <c r="L164" i="55"/>
  <c r="N164" i="55"/>
  <c r="P164" i="55"/>
  <c r="G162" i="55"/>
  <c r="J165" i="55"/>
  <c r="C9" i="60" s="1"/>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I31" i="32"/>
  <c r="J31" i="32"/>
  <c r="K31" i="32"/>
  <c r="L31" i="32"/>
  <c r="M31"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AX45" i="32" l="1"/>
  <c r="AD45" i="32"/>
  <c r="V45" i="32"/>
  <c r="H45" i="32"/>
  <c r="BB45" i="32"/>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12" i="35"/>
  <c r="E13" i="35"/>
  <c r="E17" i="35"/>
  <c r="E18" i="35"/>
  <c r="E19" i="35"/>
  <c r="E20" i="35"/>
  <c r="E30" i="35"/>
  <c r="E31" i="35"/>
  <c r="E32" i="35"/>
  <c r="E33" i="35"/>
  <c r="E34" i="35"/>
  <c r="E35" i="35"/>
  <c r="E36" i="35"/>
  <c r="E37" i="35"/>
  <c r="E38" i="35"/>
  <c r="E39" i="35"/>
  <c r="E43" i="35"/>
  <c r="E44" i="35"/>
  <c r="C47" i="71" l="1"/>
  <c r="C23" i="71"/>
  <c r="C35" i="71"/>
  <c r="C11" i="71"/>
  <c r="E22" i="35"/>
  <c r="E41" i="35"/>
  <c r="E24" i="38" s="1"/>
  <c r="E15" i="35"/>
  <c r="E17" i="40" s="1"/>
  <c r="E46" i="35"/>
  <c r="E48" i="35" s="1"/>
  <c r="E26" i="40" s="1"/>
  <c r="E24"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6" i="39"/>
  <c r="E12" i="39"/>
  <c r="E14" i="39" s="1"/>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F42" i="38"/>
  <c r="F46" i="38" s="1"/>
  <c r="G42" i="38"/>
  <c r="G46" i="38" s="1"/>
  <c r="H42" i="38"/>
  <c r="H46" i="38" s="1"/>
  <c r="I42" i="38"/>
  <c r="I46" i="38" s="1"/>
  <c r="J42" i="38"/>
  <c r="J46" i="38" s="1"/>
  <c r="K42" i="38"/>
  <c r="K46" i="38" s="1"/>
  <c r="L42" i="38"/>
  <c r="L46" i="38" s="1"/>
  <c r="M42" i="38"/>
  <c r="M46" i="38" s="1"/>
  <c r="N42" i="38"/>
  <c r="N46" i="38" s="1"/>
  <c r="N48" i="38" s="1"/>
  <c r="N41" i="40" s="1"/>
  <c r="O42" i="38"/>
  <c r="O46" i="38" s="1"/>
  <c r="P42" i="38"/>
  <c r="P46" i="38" s="1"/>
  <c r="Q42" i="38"/>
  <c r="Q46" i="38" s="1"/>
  <c r="R42" i="38"/>
  <c r="R46" i="38" s="1"/>
  <c r="S42" i="38"/>
  <c r="S46" i="38" s="1"/>
  <c r="T42" i="38"/>
  <c r="T46" i="38" s="1"/>
  <c r="U42" i="38"/>
  <c r="U46" i="38" s="1"/>
  <c r="V42" i="38"/>
  <c r="V46" i="38" s="1"/>
  <c r="W42" i="38"/>
  <c r="W46" i="38" s="1"/>
  <c r="X42" i="38"/>
  <c r="Y42" i="38"/>
  <c r="Y46" i="38" s="1"/>
  <c r="Z42" i="38"/>
  <c r="Z46" i="38" s="1"/>
  <c r="AA42" i="38"/>
  <c r="AA46" i="38" s="1"/>
  <c r="AB42" i="38"/>
  <c r="AB46" i="38" s="1"/>
  <c r="AC42" i="38"/>
  <c r="AC46" i="38" s="1"/>
  <c r="AD42" i="38"/>
  <c r="AD46" i="38" s="1"/>
  <c r="AE42" i="38"/>
  <c r="AE46" i="38" s="1"/>
  <c r="AF42" i="38"/>
  <c r="AF46" i="38" s="1"/>
  <c r="AG42" i="38"/>
  <c r="AG46" i="38" s="1"/>
  <c r="AH42" i="38"/>
  <c r="AH46" i="38" s="1"/>
  <c r="AI42" i="38"/>
  <c r="AI46" i="38" s="1"/>
  <c r="AJ42" i="38"/>
  <c r="AJ46" i="38" s="1"/>
  <c r="AK42" i="38"/>
  <c r="AL42" i="38"/>
  <c r="AL46" i="38" s="1"/>
  <c r="AM42" i="38"/>
  <c r="AM46" i="38" s="1"/>
  <c r="AN42" i="38"/>
  <c r="AN46" i="38" s="1"/>
  <c r="AO42" i="38"/>
  <c r="AO46" i="38" s="1"/>
  <c r="AP42" i="38"/>
  <c r="AP46" i="38" s="1"/>
  <c r="AQ42" i="38"/>
  <c r="AQ46" i="38" s="1"/>
  <c r="AR42" i="38"/>
  <c r="AR46" i="38" s="1"/>
  <c r="AS42" i="38"/>
  <c r="AS46" i="38" s="1"/>
  <c r="AT42" i="38"/>
  <c r="AT46" i="38" s="1"/>
  <c r="AU42" i="38"/>
  <c r="AU46" i="38" s="1"/>
  <c r="AV42" i="38"/>
  <c r="AV46" i="38" s="1"/>
  <c r="AW42" i="38"/>
  <c r="AW46" i="38" s="1"/>
  <c r="AX42" i="38"/>
  <c r="AX46" i="38" s="1"/>
  <c r="AY42" i="38"/>
  <c r="AY46" i="38" s="1"/>
  <c r="AZ42" i="38"/>
  <c r="AZ46" i="38" s="1"/>
  <c r="BA42" i="38"/>
  <c r="BA46" i="38" s="1"/>
  <c r="BB42" i="38"/>
  <c r="BB46" i="38" s="1"/>
  <c r="BC42" i="38"/>
  <c r="BC46" i="38" s="1"/>
  <c r="BD42" i="38"/>
  <c r="BD46" i="38" s="1"/>
  <c r="BE42" i="38"/>
  <c r="BE46" i="38"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F33" i="38"/>
  <c r="F40" i="38" s="1"/>
  <c r="G33" i="38"/>
  <c r="G40" i="38" s="1"/>
  <c r="H33" i="38"/>
  <c r="H40" i="38" s="1"/>
  <c r="I33" i="38"/>
  <c r="I40" i="38" s="1"/>
  <c r="J33" i="38"/>
  <c r="J40" i="38" s="1"/>
  <c r="K33" i="38"/>
  <c r="K40" i="38" s="1"/>
  <c r="L33" i="38"/>
  <c r="L40" i="38" s="1"/>
  <c r="M33" i="38"/>
  <c r="M40" i="38" s="1"/>
  <c r="N33" i="38"/>
  <c r="N40" i="38" s="1"/>
  <c r="O33" i="38"/>
  <c r="O40" i="38" s="1"/>
  <c r="P33" i="38"/>
  <c r="P40" i="38" s="1"/>
  <c r="Q33" i="38"/>
  <c r="Q40" i="38" s="1"/>
  <c r="R33" i="38"/>
  <c r="R40" i="38" s="1"/>
  <c r="S33" i="38"/>
  <c r="S40" i="38" s="1"/>
  <c r="T33" i="38"/>
  <c r="T40" i="38" s="1"/>
  <c r="U33" i="38"/>
  <c r="U40" i="38" s="1"/>
  <c r="V33" i="38"/>
  <c r="V40" i="38" s="1"/>
  <c r="W33" i="38"/>
  <c r="W40" i="38" s="1"/>
  <c r="X33" i="38"/>
  <c r="Y33" i="38"/>
  <c r="Y40" i="38" s="1"/>
  <c r="Z33" i="38"/>
  <c r="Z40" i="38" s="1"/>
  <c r="AA33" i="38"/>
  <c r="AA40" i="38" s="1"/>
  <c r="AB33" i="38"/>
  <c r="AB40" i="38" s="1"/>
  <c r="AC33" i="38"/>
  <c r="AC40" i="38" s="1"/>
  <c r="AD33" i="38"/>
  <c r="AD40" i="38" s="1"/>
  <c r="AE33" i="38"/>
  <c r="AE40" i="38" s="1"/>
  <c r="AF33" i="38"/>
  <c r="AF40" i="38" s="1"/>
  <c r="AG33" i="38"/>
  <c r="AG40" i="38" s="1"/>
  <c r="AH33" i="38"/>
  <c r="AH40" i="38" s="1"/>
  <c r="AI33" i="38"/>
  <c r="AI40" i="38" s="1"/>
  <c r="AJ33" i="38"/>
  <c r="AJ40" i="38" s="1"/>
  <c r="AK33" i="38"/>
  <c r="AL33" i="38"/>
  <c r="AL40" i="38" s="1"/>
  <c r="AM33" i="38"/>
  <c r="AM40" i="38" s="1"/>
  <c r="AN33" i="38"/>
  <c r="AN40" i="38" s="1"/>
  <c r="AO33" i="38"/>
  <c r="AO40" i="38" s="1"/>
  <c r="AP33" i="38"/>
  <c r="AP40" i="38" s="1"/>
  <c r="AQ33" i="38"/>
  <c r="AQ40" i="38" s="1"/>
  <c r="AR33" i="38"/>
  <c r="AR40" i="38" s="1"/>
  <c r="AS33" i="38"/>
  <c r="AS40" i="38" s="1"/>
  <c r="AT33" i="38"/>
  <c r="AT40" i="38" s="1"/>
  <c r="AU33" i="38"/>
  <c r="AU40" i="38" s="1"/>
  <c r="AV33" i="38"/>
  <c r="AV40" i="38" s="1"/>
  <c r="AW33" i="38"/>
  <c r="AW40" i="38" s="1"/>
  <c r="AX33" i="38"/>
  <c r="AX40" i="38" s="1"/>
  <c r="AY33" i="38"/>
  <c r="AY40" i="38" s="1"/>
  <c r="AZ33" i="38"/>
  <c r="AZ40" i="38" s="1"/>
  <c r="BA33" i="38"/>
  <c r="BA40" i="38" s="1"/>
  <c r="BB33" i="38"/>
  <c r="BB40" i="38" s="1"/>
  <c r="BC33" i="38"/>
  <c r="BC40" i="38" s="1"/>
  <c r="BD33" i="38"/>
  <c r="BD40" i="38" s="1"/>
  <c r="BE33" i="38"/>
  <c r="BE40" i="38" s="1"/>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F12" i="38"/>
  <c r="F15" i="38" s="1"/>
  <c r="G12" i="38"/>
  <c r="G15" i="38" s="1"/>
  <c r="H12" i="38"/>
  <c r="H15" i="38" s="1"/>
  <c r="I12" i="38"/>
  <c r="I15" i="38" s="1"/>
  <c r="J12" i="38"/>
  <c r="J15" i="38" s="1"/>
  <c r="K12" i="38"/>
  <c r="K15" i="38" s="1"/>
  <c r="L12" i="38"/>
  <c r="L15" i="38" s="1"/>
  <c r="M12" i="38"/>
  <c r="M15" i="38" s="1"/>
  <c r="N12" i="38"/>
  <c r="N15" i="38" s="1"/>
  <c r="O12" i="38"/>
  <c r="P12" i="38"/>
  <c r="P15" i="38" s="1"/>
  <c r="Q12" i="38"/>
  <c r="Q15" i="38" s="1"/>
  <c r="R12" i="38"/>
  <c r="R15" i="38" s="1"/>
  <c r="S12" i="38"/>
  <c r="S15" i="38" s="1"/>
  <c r="T12" i="38"/>
  <c r="T15" i="38" s="1"/>
  <c r="U12" i="38"/>
  <c r="U15" i="38" s="1"/>
  <c r="V12" i="38"/>
  <c r="V15" i="38" s="1"/>
  <c r="W12" i="38"/>
  <c r="W15" i="38" s="1"/>
  <c r="X12" i="38"/>
  <c r="Y12" i="38"/>
  <c r="Y15" i="38" s="1"/>
  <c r="Z12" i="38"/>
  <c r="Z15" i="38" s="1"/>
  <c r="AA12" i="38"/>
  <c r="AA15" i="38" s="1"/>
  <c r="AB12" i="38"/>
  <c r="AB15" i="38" s="1"/>
  <c r="AC12" i="38"/>
  <c r="AC15" i="38" s="1"/>
  <c r="AD12" i="38"/>
  <c r="AD15" i="38" s="1"/>
  <c r="AE12" i="38"/>
  <c r="AE15" i="38" s="1"/>
  <c r="AF12" i="38"/>
  <c r="AF15" i="38" s="1"/>
  <c r="AG12" i="38"/>
  <c r="AG15" i="38" s="1"/>
  <c r="AH12" i="38"/>
  <c r="AH15" i="38" s="1"/>
  <c r="AI12" i="38"/>
  <c r="AI15" i="38" s="1"/>
  <c r="AJ12" i="38"/>
  <c r="AJ15" i="38" s="1"/>
  <c r="AK12" i="38"/>
  <c r="AL12" i="38"/>
  <c r="AL15" i="38" s="1"/>
  <c r="AM12" i="38"/>
  <c r="AM15" i="38" s="1"/>
  <c r="AN12" i="38"/>
  <c r="AN15" i="38" s="1"/>
  <c r="AO12" i="38"/>
  <c r="AO15" i="38" s="1"/>
  <c r="AP12" i="38"/>
  <c r="AP15" i="38" s="1"/>
  <c r="AQ12" i="38"/>
  <c r="AQ15" i="38" s="1"/>
  <c r="AR12" i="38"/>
  <c r="AR15" i="38" s="1"/>
  <c r="AS12" i="38"/>
  <c r="AS15" i="38" s="1"/>
  <c r="AT12" i="38"/>
  <c r="AT15" i="38" s="1"/>
  <c r="AU12" i="38"/>
  <c r="AU15" i="38" s="1"/>
  <c r="AV12" i="38"/>
  <c r="AV15" i="38" s="1"/>
  <c r="AW12" i="38"/>
  <c r="AW15" i="38" s="1"/>
  <c r="AX12" i="38"/>
  <c r="AX15" i="38" s="1"/>
  <c r="AY12" i="38"/>
  <c r="AY15" i="38" s="1"/>
  <c r="AZ12" i="38"/>
  <c r="AZ15" i="38" s="1"/>
  <c r="BA12" i="38"/>
  <c r="BA15" i="38" s="1"/>
  <c r="BB12" i="38"/>
  <c r="BB15" i="38" s="1"/>
  <c r="BC12" i="38"/>
  <c r="BC15" i="38" s="1"/>
  <c r="BD12" i="38"/>
  <c r="BD15" i="38" s="1"/>
  <c r="BE12" i="38"/>
  <c r="BE15" i="38" s="1"/>
  <c r="E44" i="38"/>
  <c r="E43" i="38"/>
  <c r="E42" i="38"/>
  <c r="E38" i="38"/>
  <c r="E37" i="38"/>
  <c r="E36" i="38"/>
  <c r="E35" i="38"/>
  <c r="E34" i="38"/>
  <c r="E33" i="38"/>
  <c r="E13" i="38"/>
  <c r="E12" i="38"/>
  <c r="F37" i="37"/>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F36" i="37"/>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F35" i="37"/>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F34" i="37"/>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F33" i="37"/>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F32" i="37"/>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F22"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F21"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F20" i="37"/>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F19" i="37"/>
  <c r="G19" i="37"/>
  <c r="H19" i="37"/>
  <c r="I19" i="37"/>
  <c r="J19" i="37"/>
  <c r="K19" i="37"/>
  <c r="L19" i="37"/>
  <c r="M19" i="37"/>
  <c r="N19" i="37"/>
  <c r="O19" i="37"/>
  <c r="P19"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F18" i="37"/>
  <c r="G18" i="37"/>
  <c r="H18" i="37"/>
  <c r="I18" i="37"/>
  <c r="J18" i="37"/>
  <c r="K18" i="37"/>
  <c r="L18" i="37"/>
  <c r="M18" i="37"/>
  <c r="N18" i="37"/>
  <c r="O18" i="37"/>
  <c r="P18"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F17" i="37"/>
  <c r="G17" i="37"/>
  <c r="H17" i="37"/>
  <c r="I17" i="37"/>
  <c r="J17" i="37"/>
  <c r="K17" i="37"/>
  <c r="L17" i="37"/>
  <c r="M17" i="37"/>
  <c r="N17" i="37"/>
  <c r="O17" i="37"/>
  <c r="P17"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2" i="37"/>
  <c r="F24" i="37" s="1"/>
  <c r="F26" i="37" s="1"/>
  <c r="F33" i="40" s="1"/>
  <c r="G12" i="37"/>
  <c r="G24" i="37" s="1"/>
  <c r="G26" i="37" s="1"/>
  <c r="G33" i="40" s="1"/>
  <c r="H12" i="37"/>
  <c r="H24" i="37" s="1"/>
  <c r="H26" i="37" s="1"/>
  <c r="H33" i="40" s="1"/>
  <c r="I12" i="37"/>
  <c r="I24" i="37" s="1"/>
  <c r="I26" i="37" s="1"/>
  <c r="I33" i="40" s="1"/>
  <c r="J12" i="37"/>
  <c r="J24" i="37" s="1"/>
  <c r="J26" i="37" s="1"/>
  <c r="J33" i="40" s="1"/>
  <c r="K12" i="37"/>
  <c r="K24" i="37" s="1"/>
  <c r="K26" i="37" s="1"/>
  <c r="K33" i="40" s="1"/>
  <c r="L12" i="37"/>
  <c r="L24" i="37" s="1"/>
  <c r="L26" i="37" s="1"/>
  <c r="L33" i="40" s="1"/>
  <c r="M12" i="37"/>
  <c r="M24" i="37" s="1"/>
  <c r="M26" i="37" s="1"/>
  <c r="M33" i="40" s="1"/>
  <c r="N12" i="37"/>
  <c r="N24" i="37" s="1"/>
  <c r="N26" i="37" s="1"/>
  <c r="N33" i="40" s="1"/>
  <c r="O12" i="37"/>
  <c r="O24" i="37" s="1"/>
  <c r="O26" i="37" s="1"/>
  <c r="O33" i="40" s="1"/>
  <c r="P12" i="37"/>
  <c r="P24" i="37" s="1"/>
  <c r="P26" i="37" s="1"/>
  <c r="P33" i="40" s="1"/>
  <c r="Q12" i="37"/>
  <c r="Q24" i="37" s="1"/>
  <c r="Q26" i="37" s="1"/>
  <c r="Q33" i="40" s="1"/>
  <c r="R12" i="37"/>
  <c r="R24" i="37" s="1"/>
  <c r="R26" i="37" s="1"/>
  <c r="R33" i="40" s="1"/>
  <c r="S12" i="37"/>
  <c r="S24" i="37" s="1"/>
  <c r="S26" i="37" s="1"/>
  <c r="S33" i="40" s="1"/>
  <c r="T12" i="37"/>
  <c r="T24" i="37" s="1"/>
  <c r="T26" i="37" s="1"/>
  <c r="T33" i="40" s="1"/>
  <c r="U12" i="37"/>
  <c r="U24" i="37" s="1"/>
  <c r="U26" i="37" s="1"/>
  <c r="U33" i="40" s="1"/>
  <c r="V12" i="37"/>
  <c r="V24" i="37" s="1"/>
  <c r="V26" i="37" s="1"/>
  <c r="V33" i="40" s="1"/>
  <c r="W12" i="37"/>
  <c r="W24" i="37" s="1"/>
  <c r="W26" i="37" s="1"/>
  <c r="W33" i="40" s="1"/>
  <c r="X12" i="37"/>
  <c r="Y12" i="37"/>
  <c r="Y24" i="37" s="1"/>
  <c r="Y26" i="37" s="1"/>
  <c r="Y33" i="40" s="1"/>
  <c r="Z12" i="37"/>
  <c r="Z24" i="37" s="1"/>
  <c r="Z26" i="37" s="1"/>
  <c r="Z33" i="40" s="1"/>
  <c r="AA12" i="37"/>
  <c r="AA24" i="37" s="1"/>
  <c r="AA26" i="37" s="1"/>
  <c r="AA33" i="40" s="1"/>
  <c r="AB12" i="37"/>
  <c r="AB24" i="37" s="1"/>
  <c r="AB26" i="37" s="1"/>
  <c r="AB33" i="40" s="1"/>
  <c r="AC12" i="37"/>
  <c r="AC24" i="37" s="1"/>
  <c r="AC26" i="37" s="1"/>
  <c r="AC33" i="40" s="1"/>
  <c r="AD12" i="37"/>
  <c r="AD24" i="37" s="1"/>
  <c r="AD26" i="37" s="1"/>
  <c r="AD33" i="40" s="1"/>
  <c r="AE12" i="37"/>
  <c r="AE24" i="37" s="1"/>
  <c r="AE26" i="37" s="1"/>
  <c r="AE33" i="40" s="1"/>
  <c r="AF12" i="37"/>
  <c r="AF24" i="37" s="1"/>
  <c r="AF26" i="37" s="1"/>
  <c r="AF33" i="40" s="1"/>
  <c r="AG12" i="37"/>
  <c r="AG24" i="37" s="1"/>
  <c r="AG26" i="37" s="1"/>
  <c r="AG33" i="40" s="1"/>
  <c r="AH12" i="37"/>
  <c r="AH24" i="37" s="1"/>
  <c r="AH26" i="37" s="1"/>
  <c r="AH33" i="40" s="1"/>
  <c r="AI12" i="37"/>
  <c r="AI24" i="37" s="1"/>
  <c r="AI26" i="37" s="1"/>
  <c r="AI33" i="40" s="1"/>
  <c r="AJ12" i="37"/>
  <c r="AJ24" i="37" s="1"/>
  <c r="AJ26" i="37" s="1"/>
  <c r="AJ33" i="40" s="1"/>
  <c r="AK12" i="37"/>
  <c r="AL12" i="37"/>
  <c r="AL24" i="37" s="1"/>
  <c r="AL26" i="37" s="1"/>
  <c r="AL33" i="40" s="1"/>
  <c r="AM12" i="37"/>
  <c r="AM24" i="37" s="1"/>
  <c r="AM26" i="37" s="1"/>
  <c r="AM33" i="40" s="1"/>
  <c r="AN12" i="37"/>
  <c r="AN24" i="37" s="1"/>
  <c r="AN26" i="37" s="1"/>
  <c r="AN33" i="40" s="1"/>
  <c r="AO12" i="37"/>
  <c r="AO24" i="37" s="1"/>
  <c r="AO26" i="37" s="1"/>
  <c r="AO33" i="40" s="1"/>
  <c r="AP12" i="37"/>
  <c r="AP24" i="37" s="1"/>
  <c r="AP26" i="37" s="1"/>
  <c r="AP33" i="40" s="1"/>
  <c r="AQ12" i="37"/>
  <c r="AQ24" i="37" s="1"/>
  <c r="AQ26" i="37" s="1"/>
  <c r="AQ33" i="40" s="1"/>
  <c r="AR12" i="37"/>
  <c r="AR24" i="37" s="1"/>
  <c r="AR26" i="37" s="1"/>
  <c r="AR33" i="40" s="1"/>
  <c r="AS12" i="37"/>
  <c r="AS24" i="37" s="1"/>
  <c r="AS26" i="37" s="1"/>
  <c r="AS33" i="40" s="1"/>
  <c r="AT12" i="37"/>
  <c r="AT24" i="37" s="1"/>
  <c r="AT26" i="37" s="1"/>
  <c r="AT33" i="40" s="1"/>
  <c r="AU12" i="37"/>
  <c r="AU24" i="37" s="1"/>
  <c r="AU26" i="37" s="1"/>
  <c r="AU33" i="40" s="1"/>
  <c r="AV12" i="37"/>
  <c r="AV24" i="37" s="1"/>
  <c r="AV26" i="37" s="1"/>
  <c r="AV33" i="40" s="1"/>
  <c r="AW12" i="37"/>
  <c r="AW24" i="37" s="1"/>
  <c r="AW26" i="37" s="1"/>
  <c r="AW33" i="40" s="1"/>
  <c r="AX12" i="37"/>
  <c r="AX24" i="37" s="1"/>
  <c r="AX26" i="37" s="1"/>
  <c r="AX33" i="40" s="1"/>
  <c r="AY12" i="37"/>
  <c r="AY24" i="37" s="1"/>
  <c r="AY26" i="37" s="1"/>
  <c r="AY33" i="40" s="1"/>
  <c r="AZ12" i="37"/>
  <c r="AZ24" i="37" s="1"/>
  <c r="AZ26" i="37" s="1"/>
  <c r="AZ33" i="40" s="1"/>
  <c r="BA12" i="37"/>
  <c r="BA24" i="37" s="1"/>
  <c r="BA26" i="37" s="1"/>
  <c r="BA33" i="40" s="1"/>
  <c r="BB12" i="37"/>
  <c r="BB24" i="37" s="1"/>
  <c r="BB26" i="37" s="1"/>
  <c r="BB33" i="40" s="1"/>
  <c r="BC12" i="37"/>
  <c r="BC24" i="37" s="1"/>
  <c r="BC26" i="37" s="1"/>
  <c r="BC33" i="40" s="1"/>
  <c r="BD12" i="37"/>
  <c r="BD24" i="37" s="1"/>
  <c r="BD26" i="37" s="1"/>
  <c r="BD33" i="40" s="1"/>
  <c r="BE12" i="37"/>
  <c r="BE24" i="37" s="1"/>
  <c r="BE26" i="37" s="1"/>
  <c r="BE33" i="40" s="1"/>
  <c r="E37" i="37"/>
  <c r="E36" i="37"/>
  <c r="E35" i="37"/>
  <c r="E34" i="37"/>
  <c r="E33" i="37"/>
  <c r="E32" i="37"/>
  <c r="E22" i="37"/>
  <c r="E21" i="37"/>
  <c r="E20" i="37"/>
  <c r="E19" i="37"/>
  <c r="E18" i="37"/>
  <c r="E17" i="37"/>
  <c r="E16" i="37"/>
  <c r="E15" i="37"/>
  <c r="E14" i="37"/>
  <c r="E12" i="37"/>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F17" i="36"/>
  <c r="F23" i="36" s="1"/>
  <c r="G17" i="36"/>
  <c r="G23" i="36" s="1"/>
  <c r="H17" i="36"/>
  <c r="H23" i="36" s="1"/>
  <c r="I17" i="36"/>
  <c r="I23" i="36" s="1"/>
  <c r="J17" i="36"/>
  <c r="J23" i="36" s="1"/>
  <c r="K17" i="36"/>
  <c r="K23" i="36" s="1"/>
  <c r="L17" i="36"/>
  <c r="L23" i="36" s="1"/>
  <c r="M17" i="36"/>
  <c r="M23" i="36" s="1"/>
  <c r="N17" i="36"/>
  <c r="N23" i="36" s="1"/>
  <c r="O17" i="36"/>
  <c r="O23" i="36" s="1"/>
  <c r="P17" i="36"/>
  <c r="P23" i="36" s="1"/>
  <c r="Q17" i="36"/>
  <c r="Q23" i="36" s="1"/>
  <c r="R17" i="36"/>
  <c r="R23" i="36" s="1"/>
  <c r="S17" i="36"/>
  <c r="S23" i="36" s="1"/>
  <c r="T17" i="36"/>
  <c r="T23" i="36" s="1"/>
  <c r="U17" i="36"/>
  <c r="U23" i="36" s="1"/>
  <c r="V17" i="36"/>
  <c r="V23" i="36" s="1"/>
  <c r="W17" i="36"/>
  <c r="W23" i="36" s="1"/>
  <c r="X17" i="36"/>
  <c r="Y17" i="36"/>
  <c r="Y23" i="36" s="1"/>
  <c r="Z17" i="36"/>
  <c r="Z23" i="36" s="1"/>
  <c r="AA17" i="36"/>
  <c r="AA23" i="36" s="1"/>
  <c r="AB17" i="36"/>
  <c r="AB23" i="36" s="1"/>
  <c r="AC17" i="36"/>
  <c r="AC23" i="36" s="1"/>
  <c r="AD17" i="36"/>
  <c r="AD23" i="36" s="1"/>
  <c r="AE17" i="36"/>
  <c r="AE23" i="36" s="1"/>
  <c r="AF17" i="36"/>
  <c r="AF23" i="36" s="1"/>
  <c r="AG17" i="36"/>
  <c r="AG23" i="36" s="1"/>
  <c r="AH17" i="36"/>
  <c r="AH23" i="36" s="1"/>
  <c r="AI17" i="36"/>
  <c r="AJ17" i="36"/>
  <c r="AK17" i="36"/>
  <c r="AL17" i="36"/>
  <c r="AL23" i="36" s="1"/>
  <c r="AM17" i="36"/>
  <c r="AM23" i="36" s="1"/>
  <c r="AN17" i="36"/>
  <c r="AN23" i="36" s="1"/>
  <c r="AO17" i="36"/>
  <c r="AO23" i="36" s="1"/>
  <c r="AP17" i="36"/>
  <c r="AP23" i="36" s="1"/>
  <c r="AQ17" i="36"/>
  <c r="AQ23" i="36" s="1"/>
  <c r="AR17" i="36"/>
  <c r="AR23" i="36" s="1"/>
  <c r="AS17" i="36"/>
  <c r="AS23" i="36" s="1"/>
  <c r="AT17" i="36"/>
  <c r="AT23" i="36" s="1"/>
  <c r="AU17" i="36"/>
  <c r="AU23" i="36" s="1"/>
  <c r="AV17" i="36"/>
  <c r="AV23" i="36" s="1"/>
  <c r="AW17" i="36"/>
  <c r="AW23" i="36" s="1"/>
  <c r="AX17" i="36"/>
  <c r="AX23" i="36" s="1"/>
  <c r="AY17" i="36"/>
  <c r="AY23" i="36" s="1"/>
  <c r="AZ17" i="36"/>
  <c r="AZ23" i="36" s="1"/>
  <c r="BA17" i="36"/>
  <c r="BA23" i="36" s="1"/>
  <c r="BB17" i="36"/>
  <c r="BB23" i="36" s="1"/>
  <c r="BC17" i="36"/>
  <c r="BC23" i="36" s="1"/>
  <c r="BD17" i="36"/>
  <c r="BD23" i="36" s="1"/>
  <c r="BE17" i="36"/>
  <c r="BE23" i="36" s="1"/>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F15" i="36" s="1"/>
  <c r="G12" i="36"/>
  <c r="G15" i="36" s="1"/>
  <c r="H12" i="36"/>
  <c r="H15" i="36" s="1"/>
  <c r="I12" i="36"/>
  <c r="I15" i="36" s="1"/>
  <c r="J12" i="36"/>
  <c r="J15" i="36" s="1"/>
  <c r="K12" i="36"/>
  <c r="K15" i="36" s="1"/>
  <c r="L12" i="36"/>
  <c r="L15" i="36" s="1"/>
  <c r="M12" i="36"/>
  <c r="M15" i="36" s="1"/>
  <c r="N12" i="36"/>
  <c r="N15" i="36" s="1"/>
  <c r="O12" i="36"/>
  <c r="O15" i="36" s="1"/>
  <c r="P12" i="36"/>
  <c r="P15" i="36" s="1"/>
  <c r="Q12" i="36"/>
  <c r="Q15" i="36" s="1"/>
  <c r="R12" i="36"/>
  <c r="R15" i="36" s="1"/>
  <c r="S12" i="36"/>
  <c r="S15" i="36" s="1"/>
  <c r="T12" i="36"/>
  <c r="T15" i="36" s="1"/>
  <c r="U12" i="36"/>
  <c r="U15" i="36" s="1"/>
  <c r="V12" i="36"/>
  <c r="V15" i="36" s="1"/>
  <c r="W12" i="36"/>
  <c r="W15" i="36" s="1"/>
  <c r="X12" i="36"/>
  <c r="Y12" i="36"/>
  <c r="Y15" i="36" s="1"/>
  <c r="Z12" i="36"/>
  <c r="Z15" i="36" s="1"/>
  <c r="AA12" i="36"/>
  <c r="AA15" i="36" s="1"/>
  <c r="AB12" i="36"/>
  <c r="AB15" i="36" s="1"/>
  <c r="AC12" i="36"/>
  <c r="AC15" i="36" s="1"/>
  <c r="AD12" i="36"/>
  <c r="AD15" i="36" s="1"/>
  <c r="AE12" i="36"/>
  <c r="AE15" i="36" s="1"/>
  <c r="AF12" i="36"/>
  <c r="AF15" i="36" s="1"/>
  <c r="AG12" i="36"/>
  <c r="AG15" i="36" s="1"/>
  <c r="AH12" i="36"/>
  <c r="AH15" i="36" s="1"/>
  <c r="AI12" i="36"/>
  <c r="AI15" i="36" s="1"/>
  <c r="AJ12" i="36"/>
  <c r="AJ15" i="36" s="1"/>
  <c r="AK12" i="36"/>
  <c r="AL12" i="36"/>
  <c r="AL15" i="36" s="1"/>
  <c r="AM12" i="36"/>
  <c r="AM15" i="36" s="1"/>
  <c r="AN12" i="36"/>
  <c r="AN15" i="36" s="1"/>
  <c r="AO12" i="36"/>
  <c r="AO15" i="36" s="1"/>
  <c r="AP12" i="36"/>
  <c r="AP15" i="36" s="1"/>
  <c r="AQ12" i="36"/>
  <c r="AQ15" i="36" s="1"/>
  <c r="AR12" i="36"/>
  <c r="AR15" i="36" s="1"/>
  <c r="AS12" i="36"/>
  <c r="AS15" i="36" s="1"/>
  <c r="AT12" i="36"/>
  <c r="AT15" i="36" s="1"/>
  <c r="AU12" i="36"/>
  <c r="AU15" i="36" s="1"/>
  <c r="AV12" i="36"/>
  <c r="AV15" i="36" s="1"/>
  <c r="AW12" i="36"/>
  <c r="AW15" i="36" s="1"/>
  <c r="AX12" i="36"/>
  <c r="AX15" i="36" s="1"/>
  <c r="AY12" i="36"/>
  <c r="AY15" i="36" s="1"/>
  <c r="AZ12" i="36"/>
  <c r="AZ15" i="36" s="1"/>
  <c r="BA12" i="36"/>
  <c r="BA15" i="36" s="1"/>
  <c r="BB12" i="36"/>
  <c r="BB15" i="36" s="1"/>
  <c r="BC12" i="36"/>
  <c r="BC15" i="36" s="1"/>
  <c r="BD12" i="36"/>
  <c r="BD15" i="36" s="1"/>
  <c r="BE12" i="36"/>
  <c r="BE15" i="36" s="1"/>
  <c r="E34" i="36"/>
  <c r="E33" i="36"/>
  <c r="E32" i="36"/>
  <c r="E31" i="36"/>
  <c r="E21" i="36"/>
  <c r="E20" i="36"/>
  <c r="E19" i="36"/>
  <c r="E18" i="36"/>
  <c r="E17" i="36"/>
  <c r="E13" i="36"/>
  <c r="E12" i="36"/>
  <c r="AJ23" i="36" l="1"/>
  <c r="AJ26" i="38" s="1"/>
  <c r="AI23" i="36"/>
  <c r="AI41" i="37" s="1"/>
  <c r="N39" i="37"/>
  <c r="N36" i="36"/>
  <c r="N15" i="40" s="1"/>
  <c r="AT48" i="38"/>
  <c r="AT41" i="40" s="1"/>
  <c r="AT39" i="37"/>
  <c r="AT36" i="36"/>
  <c r="AT15" i="40" s="1"/>
  <c r="R48" i="38"/>
  <c r="R41" i="40" s="1"/>
  <c r="R39" i="37"/>
  <c r="R36" i="36"/>
  <c r="R15" i="40" s="1"/>
  <c r="AX48" i="38"/>
  <c r="AX41" i="40" s="1"/>
  <c r="AX39" i="37"/>
  <c r="AX36" i="36"/>
  <c r="AX15" i="40" s="1"/>
  <c r="BE48" i="38"/>
  <c r="BE41" i="40" s="1"/>
  <c r="BE39" i="37"/>
  <c r="BE36" i="36"/>
  <c r="BE15" i="40" s="1"/>
  <c r="V48" i="38"/>
  <c r="V41" i="40" s="1"/>
  <c r="V39" i="37"/>
  <c r="V36" i="36"/>
  <c r="V15" i="40" s="1"/>
  <c r="T48" i="38"/>
  <c r="T41" i="40" s="1"/>
  <c r="T36" i="36"/>
  <c r="T15" i="40" s="1"/>
  <c r="BC48" i="38"/>
  <c r="BC41" i="40" s="1"/>
  <c r="BC39" i="37"/>
  <c r="BC36" i="36"/>
  <c r="BC15" i="40" s="1"/>
  <c r="BB48" i="38"/>
  <c r="BB41" i="40" s="1"/>
  <c r="BB39" i="37"/>
  <c r="BB36" i="36"/>
  <c r="BB15" i="40" s="1"/>
  <c r="AZ48" i="38"/>
  <c r="AZ41" i="40" s="1"/>
  <c r="AZ36" i="36"/>
  <c r="AZ15" i="40" s="1"/>
  <c r="AY48" i="38"/>
  <c r="AY41" i="40" s="1"/>
  <c r="AY39" i="37"/>
  <c r="AY36" i="36"/>
  <c r="AY15" i="40" s="1"/>
  <c r="AW48" i="38"/>
  <c r="AW41" i="40" s="1"/>
  <c r="AW39" i="37"/>
  <c r="AW36" i="36"/>
  <c r="AW15" i="40" s="1"/>
  <c r="AV48" i="38"/>
  <c r="AV41" i="40" s="1"/>
  <c r="AV36" i="36"/>
  <c r="AV15" i="40" s="1"/>
  <c r="AS48" i="38"/>
  <c r="AS41" i="40" s="1"/>
  <c r="AS39" i="37"/>
  <c r="AS36" i="36"/>
  <c r="AS15" i="40" s="1"/>
  <c r="AQ48" i="38"/>
  <c r="AQ41" i="40" s="1"/>
  <c r="AQ39" i="37"/>
  <c r="AQ36" i="36"/>
  <c r="AQ15" i="40" s="1"/>
  <c r="AP48" i="38"/>
  <c r="AP41" i="40" s="1"/>
  <c r="AP39" i="37"/>
  <c r="AP36" i="36"/>
  <c r="AP15" i="40" s="1"/>
  <c r="AO48" i="38"/>
  <c r="AO41" i="40" s="1"/>
  <c r="AO39" i="37"/>
  <c r="AO36" i="36"/>
  <c r="AO15" i="40" s="1"/>
  <c r="AN48" i="38"/>
  <c r="AN41" i="40" s="1"/>
  <c r="AN36" i="36"/>
  <c r="AN15" i="40" s="1"/>
  <c r="AM48" i="38"/>
  <c r="AM41" i="40" s="1"/>
  <c r="AM39" i="37"/>
  <c r="AM36" i="36"/>
  <c r="AM15" i="40" s="1"/>
  <c r="AL48" i="38"/>
  <c r="AL41" i="40" s="1"/>
  <c r="AL39" i="37"/>
  <c r="AL36" i="36"/>
  <c r="AL15" i="40" s="1"/>
  <c r="AJ48" i="38"/>
  <c r="AJ41" i="40" s="1"/>
  <c r="AJ36" i="36"/>
  <c r="AJ15" i="40" s="1"/>
  <c r="AI48" i="38"/>
  <c r="AI41" i="40" s="1"/>
  <c r="AI39" i="37"/>
  <c r="AI36" i="36"/>
  <c r="AI15" i="40" s="1"/>
  <c r="AH48" i="38"/>
  <c r="AH41" i="40" s="1"/>
  <c r="AH39" i="37"/>
  <c r="AH36" i="36"/>
  <c r="AH15" i="40" s="1"/>
  <c r="AG48" i="38"/>
  <c r="AG41" i="40" s="1"/>
  <c r="AG39" i="37"/>
  <c r="AG36" i="36"/>
  <c r="AG15" i="40" s="1"/>
  <c r="AF48" i="38"/>
  <c r="AF41" i="40" s="1"/>
  <c r="AF36" i="36"/>
  <c r="AF15" i="40" s="1"/>
  <c r="AB48" i="38"/>
  <c r="AB41" i="40" s="1"/>
  <c r="AB36" i="36"/>
  <c r="AB15" i="40" s="1"/>
  <c r="BF18" i="36"/>
  <c r="J48" i="38"/>
  <c r="J41" i="40" s="1"/>
  <c r="J39" i="37"/>
  <c r="J36" i="36"/>
  <c r="J15" i="40" s="1"/>
  <c r="AE48" i="38"/>
  <c r="AE41" i="40" s="1"/>
  <c r="AE39" i="37"/>
  <c r="AE36" i="36"/>
  <c r="AE15" i="40" s="1"/>
  <c r="AC48" i="38"/>
  <c r="AC41" i="40" s="1"/>
  <c r="AC39" i="37"/>
  <c r="AC36" i="36"/>
  <c r="AC15" i="40" s="1"/>
  <c r="AA48" i="38"/>
  <c r="AA41" i="40" s="1"/>
  <c r="AA39" i="37"/>
  <c r="AA36" i="36"/>
  <c r="AA15" i="40" s="1"/>
  <c r="Y48" i="38"/>
  <c r="Y41" i="40" s="1"/>
  <c r="Y39" i="37"/>
  <c r="Y36" i="36"/>
  <c r="Y15" i="40" s="1"/>
  <c r="D36" i="43"/>
  <c r="U48" i="38"/>
  <c r="U41" i="40" s="1"/>
  <c r="U39" i="37"/>
  <c r="U36" i="36"/>
  <c r="U15" i="40" s="1"/>
  <c r="AU48" i="38"/>
  <c r="AU41" i="40" s="1"/>
  <c r="AU39" i="37"/>
  <c r="AU36" i="36"/>
  <c r="AU15" i="40" s="1"/>
  <c r="S48" i="38"/>
  <c r="S41" i="40" s="1"/>
  <c r="S39" i="37"/>
  <c r="S36" i="36"/>
  <c r="S15" i="40" s="1"/>
  <c r="W48" i="38"/>
  <c r="W41" i="40" s="1"/>
  <c r="BF42" i="38"/>
  <c r="W39" i="37"/>
  <c r="W36" i="36"/>
  <c r="W15" i="40" s="1"/>
  <c r="AD48" i="38"/>
  <c r="AD41" i="40" s="1"/>
  <c r="AD39" i="37"/>
  <c r="BG14" i="39"/>
  <c r="AD36" i="36"/>
  <c r="AD15" i="40" s="1"/>
  <c r="Q48" i="38"/>
  <c r="Q41" i="40" s="1"/>
  <c r="Q39" i="37"/>
  <c r="Q36" i="36"/>
  <c r="Q15" i="40" s="1"/>
  <c r="P48" i="38"/>
  <c r="P41" i="40" s="1"/>
  <c r="P36" i="36"/>
  <c r="P15" i="40" s="1"/>
  <c r="H48" i="38"/>
  <c r="H41" i="40" s="1"/>
  <c r="BF32" i="37"/>
  <c r="H36" i="36"/>
  <c r="H15" i="40" s="1"/>
  <c r="BF31" i="36"/>
  <c r="K48" i="38"/>
  <c r="K41" i="40" s="1"/>
  <c r="K39" i="37"/>
  <c r="K36" i="36"/>
  <c r="K15" i="40" s="1"/>
  <c r="G48" i="38"/>
  <c r="G41" i="40" s="1"/>
  <c r="G39" i="37"/>
  <c r="BF33" i="38"/>
  <c r="G36" i="36"/>
  <c r="G15" i="40" s="1"/>
  <c r="BF21" i="36"/>
  <c r="I48" i="38"/>
  <c r="I41" i="40" s="1"/>
  <c r="I39" i="37"/>
  <c r="BF12" i="36"/>
  <c r="BF32" i="36"/>
  <c r="I36" i="36"/>
  <c r="I15" i="40" s="1"/>
  <c r="BD48" i="38"/>
  <c r="BD41" i="40" s="1"/>
  <c r="BD36" i="36"/>
  <c r="BD15" i="40" s="1"/>
  <c r="BF13" i="36"/>
  <c r="L48" i="38"/>
  <c r="L41" i="40" s="1"/>
  <c r="BF19" i="37"/>
  <c r="L36" i="36"/>
  <c r="L15" i="40" s="1"/>
  <c r="BF20" i="36"/>
  <c r="BF38" i="38"/>
  <c r="BF36" i="38"/>
  <c r="F48" i="38"/>
  <c r="F41" i="40" s="1"/>
  <c r="BF34" i="38"/>
  <c r="BF43" i="38"/>
  <c r="BF36" i="37"/>
  <c r="F39" i="37"/>
  <c r="BF34" i="37"/>
  <c r="BF14" i="39"/>
  <c r="F36" i="36"/>
  <c r="F15" i="40" s="1"/>
  <c r="BF34" i="36"/>
  <c r="BF19" i="36"/>
  <c r="BF37" i="38"/>
  <c r="BF35" i="38"/>
  <c r="M48" i="38"/>
  <c r="M41" i="40" s="1"/>
  <c r="M39" i="37"/>
  <c r="M36" i="36"/>
  <c r="M15" i="40" s="1"/>
  <c r="D18" i="43" s="1"/>
  <c r="BF12" i="38"/>
  <c r="BA48" i="38"/>
  <c r="BA41" i="40" s="1"/>
  <c r="BA39" i="37"/>
  <c r="BA36" i="36"/>
  <c r="BA15" i="40" s="1"/>
  <c r="O48" i="38"/>
  <c r="O41" i="40" s="1"/>
  <c r="BF44" i="38"/>
  <c r="BF17" i="36"/>
  <c r="O39" i="37"/>
  <c r="O36" i="36"/>
  <c r="O15" i="40" s="1"/>
  <c r="O15" i="38"/>
  <c r="BF13" i="38"/>
  <c r="AR48" i="38"/>
  <c r="AR41" i="40" s="1"/>
  <c r="BH14" i="39"/>
  <c r="AR36" i="36"/>
  <c r="AR15" i="40" s="1"/>
  <c r="Z48" i="38"/>
  <c r="Z41" i="40" s="1"/>
  <c r="Z39" i="37"/>
  <c r="Z36" i="36"/>
  <c r="Z15" i="40" s="1"/>
  <c r="E15" i="36"/>
  <c r="BF15" i="36" s="1"/>
  <c r="E23" i="36"/>
  <c r="BF33" i="36"/>
  <c r="E36" i="36"/>
  <c r="E15" i="40" s="1"/>
  <c r="BD26" i="38"/>
  <c r="BD41" i="37"/>
  <c r="BD38" i="36"/>
  <c r="BD40" i="36" s="1"/>
  <c r="BD31" i="40" s="1"/>
  <c r="BD25" i="36"/>
  <c r="BD29" i="40" s="1"/>
  <c r="BB26" i="38"/>
  <c r="BB41" i="37"/>
  <c r="BB38" i="36"/>
  <c r="BB25" i="36"/>
  <c r="BB29" i="40" s="1"/>
  <c r="AZ26" i="38"/>
  <c r="AZ41" i="37"/>
  <c r="AZ38" i="36"/>
  <c r="AZ25" i="36"/>
  <c r="AZ29" i="40" s="1"/>
  <c r="AX26" i="38"/>
  <c r="AX41" i="37"/>
  <c r="AX38" i="36"/>
  <c r="AX25" i="36"/>
  <c r="AX29" i="40" s="1"/>
  <c r="AV26" i="38"/>
  <c r="AV41" i="37"/>
  <c r="AV38" i="36"/>
  <c r="AV25" i="36"/>
  <c r="AV29" i="40" s="1"/>
  <c r="AT26" i="38"/>
  <c r="AT41" i="37"/>
  <c r="AT38" i="36"/>
  <c r="AT25" i="36"/>
  <c r="AT29" i="40" s="1"/>
  <c r="AR26" i="38"/>
  <c r="AR41" i="37"/>
  <c r="AR38" i="36"/>
  <c r="AR40" i="36" s="1"/>
  <c r="AR31" i="40" s="1"/>
  <c r="AR25" i="36"/>
  <c r="AR29" i="40" s="1"/>
  <c r="AP26" i="38"/>
  <c r="AP41" i="37"/>
  <c r="AP43" i="37" s="1"/>
  <c r="AP35" i="40" s="1"/>
  <c r="AP38" i="36"/>
  <c r="AP40" i="36" s="1"/>
  <c r="AP31" i="40" s="1"/>
  <c r="AP25" i="36"/>
  <c r="AP29" i="40" s="1"/>
  <c r="AN26" i="38"/>
  <c r="AN41" i="37"/>
  <c r="AN38" i="36"/>
  <c r="AN25" i="36"/>
  <c r="AN29" i="40" s="1"/>
  <c r="AL26" i="38"/>
  <c r="AL41" i="37"/>
  <c r="AL38" i="36"/>
  <c r="AL25" i="36"/>
  <c r="AL29" i="40" s="1"/>
  <c r="AJ41" i="37"/>
  <c r="AJ25" i="36"/>
  <c r="AJ29" i="40" s="1"/>
  <c r="AH26" i="38"/>
  <c r="AH41" i="37"/>
  <c r="AH38" i="36"/>
  <c r="AH25" i="36"/>
  <c r="AH29" i="40" s="1"/>
  <c r="AF26" i="38"/>
  <c r="AF41" i="37"/>
  <c r="AF38" i="36"/>
  <c r="AF40" i="36" s="1"/>
  <c r="AF31" i="40" s="1"/>
  <c r="AF25" i="36"/>
  <c r="AF29" i="40" s="1"/>
  <c r="AD26" i="38"/>
  <c r="AD41" i="37"/>
  <c r="AD38" i="36"/>
  <c r="AD40" i="36" s="1"/>
  <c r="AD31" i="40" s="1"/>
  <c r="AD25" i="36"/>
  <c r="AD29" i="40" s="1"/>
  <c r="AB26" i="38"/>
  <c r="AB41" i="37"/>
  <c r="AB38" i="36"/>
  <c r="AB40" i="36" s="1"/>
  <c r="AB31" i="40" s="1"/>
  <c r="AB25" i="36"/>
  <c r="AB29" i="40" s="1"/>
  <c r="Z26" i="38"/>
  <c r="Z41" i="37"/>
  <c r="Z38" i="36"/>
  <c r="Z25" i="36"/>
  <c r="Z29" i="40" s="1"/>
  <c r="V26" i="38"/>
  <c r="V41" i="37"/>
  <c r="V38" i="36"/>
  <c r="V25" i="36"/>
  <c r="V29" i="40" s="1"/>
  <c r="T26" i="38"/>
  <c r="T41" i="37"/>
  <c r="T38" i="36"/>
  <c r="T25" i="36"/>
  <c r="T29" i="40" s="1"/>
  <c r="R26" i="38"/>
  <c r="R41" i="37"/>
  <c r="R43" i="37" s="1"/>
  <c r="R35" i="40" s="1"/>
  <c r="R38" i="36"/>
  <c r="R40" i="36" s="1"/>
  <c r="R31" i="40" s="1"/>
  <c r="R25" i="36"/>
  <c r="R29" i="40" s="1"/>
  <c r="P26" i="38"/>
  <c r="P41" i="37"/>
  <c r="P38" i="36"/>
  <c r="P25" i="36"/>
  <c r="P29" i="40" s="1"/>
  <c r="N26" i="38"/>
  <c r="N28" i="38" s="1"/>
  <c r="N39" i="40" s="1"/>
  <c r="N41" i="37"/>
  <c r="N43" i="37" s="1"/>
  <c r="N35" i="40" s="1"/>
  <c r="N38" i="36"/>
  <c r="N40" i="36" s="1"/>
  <c r="N31" i="40" s="1"/>
  <c r="N25" i="36"/>
  <c r="N29" i="40" s="1"/>
  <c r="L26" i="38"/>
  <c r="L41" i="37"/>
  <c r="L38" i="36"/>
  <c r="L40" i="36" s="1"/>
  <c r="L31" i="40" s="1"/>
  <c r="L25" i="36"/>
  <c r="L29" i="40" s="1"/>
  <c r="J26" i="38"/>
  <c r="J41" i="37"/>
  <c r="J43" i="37" s="1"/>
  <c r="J35" i="40" s="1"/>
  <c r="J38" i="36"/>
  <c r="J40" i="36" s="1"/>
  <c r="J31" i="40" s="1"/>
  <c r="J25" i="36"/>
  <c r="J29" i="40" s="1"/>
  <c r="H26" i="38"/>
  <c r="H41" i="37"/>
  <c r="H38" i="36"/>
  <c r="H40" i="36" s="1"/>
  <c r="H31" i="40" s="1"/>
  <c r="H25" i="36"/>
  <c r="H29" i="40" s="1"/>
  <c r="F26" i="38"/>
  <c r="F41" i="37"/>
  <c r="F38" i="36"/>
  <c r="F25" i="36"/>
  <c r="F29" i="40" s="1"/>
  <c r="BH12" i="36"/>
  <c r="AK15" i="36"/>
  <c r="BH15" i="36" s="1"/>
  <c r="BE26" i="38"/>
  <c r="BE41" i="37"/>
  <c r="BE43" i="37" s="1"/>
  <c r="BE35" i="40" s="1"/>
  <c r="BE38" i="36"/>
  <c r="BE40" i="36" s="1"/>
  <c r="BE31" i="40" s="1"/>
  <c r="BE25" i="36"/>
  <c r="BE29" i="40" s="1"/>
  <c r="BC26" i="38"/>
  <c r="BC41" i="37"/>
  <c r="BC43" i="37" s="1"/>
  <c r="BC35" i="40" s="1"/>
  <c r="BC38" i="36"/>
  <c r="BC40" i="36" s="1"/>
  <c r="BC31" i="40" s="1"/>
  <c r="BC25" i="36"/>
  <c r="BC29" i="40" s="1"/>
  <c r="BA26" i="38"/>
  <c r="BA41" i="37"/>
  <c r="BA43" i="37" s="1"/>
  <c r="BA35" i="40" s="1"/>
  <c r="BA38" i="36"/>
  <c r="BA40" i="36" s="1"/>
  <c r="BA31" i="40" s="1"/>
  <c r="BA25" i="36"/>
  <c r="BA29" i="40" s="1"/>
  <c r="AY26" i="38"/>
  <c r="AY41" i="37"/>
  <c r="AY43" i="37" s="1"/>
  <c r="AY35" i="40" s="1"/>
  <c r="AY38" i="36"/>
  <c r="AY40" i="36" s="1"/>
  <c r="AY31" i="40" s="1"/>
  <c r="AY25" i="36"/>
  <c r="AY29" i="40" s="1"/>
  <c r="AW26" i="38"/>
  <c r="AW41" i="37"/>
  <c r="AW38" i="36"/>
  <c r="AW25" i="36"/>
  <c r="AW29" i="40" s="1"/>
  <c r="AU26" i="38"/>
  <c r="AU41" i="37"/>
  <c r="AU38" i="36"/>
  <c r="AU25" i="36"/>
  <c r="AU29" i="40" s="1"/>
  <c r="AS26" i="38"/>
  <c r="AS41" i="37"/>
  <c r="AS43" i="37" s="1"/>
  <c r="AS35" i="40" s="1"/>
  <c r="AS38" i="36"/>
  <c r="AS40" i="36" s="1"/>
  <c r="AS31" i="40" s="1"/>
  <c r="AS25" i="36"/>
  <c r="AS29" i="40" s="1"/>
  <c r="AQ26" i="38"/>
  <c r="AQ41" i="37"/>
  <c r="AQ38" i="36"/>
  <c r="AQ25" i="36"/>
  <c r="AQ29" i="40" s="1"/>
  <c r="AO26" i="38"/>
  <c r="AO41" i="37"/>
  <c r="AO38" i="36"/>
  <c r="AO25" i="36"/>
  <c r="AO29" i="40" s="1"/>
  <c r="AM26" i="38"/>
  <c r="AM41" i="37"/>
  <c r="AM43" i="37" s="1"/>
  <c r="AM35" i="40" s="1"/>
  <c r="AM38" i="36"/>
  <c r="AM40" i="36" s="1"/>
  <c r="AM31" i="40" s="1"/>
  <c r="AM25" i="36"/>
  <c r="AM29" i="40" s="1"/>
  <c r="AI26" i="38"/>
  <c r="AI38" i="36"/>
  <c r="AI40" i="36" s="1"/>
  <c r="AI31" i="40" s="1"/>
  <c r="AG26" i="38"/>
  <c r="AG41" i="37"/>
  <c r="AG43" i="37" s="1"/>
  <c r="AG35" i="40" s="1"/>
  <c r="AG38" i="36"/>
  <c r="AG40" i="36" s="1"/>
  <c r="AG31" i="40" s="1"/>
  <c r="AG25" i="36"/>
  <c r="AG29" i="40" s="1"/>
  <c r="AE26" i="38"/>
  <c r="AE41" i="37"/>
  <c r="AE38" i="36"/>
  <c r="AE25" i="36"/>
  <c r="AE29" i="40" s="1"/>
  <c r="AC26" i="38"/>
  <c r="AC41" i="37"/>
  <c r="AC43" i="37" s="1"/>
  <c r="AC35" i="40" s="1"/>
  <c r="AC38" i="36"/>
  <c r="AC40" i="36" s="1"/>
  <c r="AC31" i="40" s="1"/>
  <c r="AC25" i="36"/>
  <c r="AC29" i="40" s="1"/>
  <c r="AA26" i="38"/>
  <c r="AA41" i="37"/>
  <c r="AA38" i="36"/>
  <c r="AA25" i="36"/>
  <c r="AA29" i="40" s="1"/>
  <c r="Y26" i="38"/>
  <c r="Y41" i="37"/>
  <c r="Y43" i="37" s="1"/>
  <c r="Y35" i="40" s="1"/>
  <c r="Y38" i="36"/>
  <c r="Y40" i="36" s="1"/>
  <c r="Y31" i="40" s="1"/>
  <c r="Y25" i="36"/>
  <c r="Y29" i="40" s="1"/>
  <c r="W26" i="38"/>
  <c r="W41" i="37"/>
  <c r="W43" i="37" s="1"/>
  <c r="W35" i="40" s="1"/>
  <c r="W38" i="36"/>
  <c r="W40" i="36" s="1"/>
  <c r="W31" i="40" s="1"/>
  <c r="W25" i="36"/>
  <c r="W29" i="40" s="1"/>
  <c r="U26" i="38"/>
  <c r="U41" i="37"/>
  <c r="U43" i="37" s="1"/>
  <c r="U35" i="40" s="1"/>
  <c r="U38" i="36"/>
  <c r="U40" i="36" s="1"/>
  <c r="U31" i="40" s="1"/>
  <c r="U25" i="36"/>
  <c r="U29" i="40" s="1"/>
  <c r="S26" i="38"/>
  <c r="S41" i="37"/>
  <c r="S43" i="37" s="1"/>
  <c r="S35" i="40" s="1"/>
  <c r="S38" i="36"/>
  <c r="S40" i="36" s="1"/>
  <c r="S31" i="40" s="1"/>
  <c r="S25" i="36"/>
  <c r="S29" i="40" s="1"/>
  <c r="Q26" i="38"/>
  <c r="Q41" i="37"/>
  <c r="Q38" i="36"/>
  <c r="Q25" i="36"/>
  <c r="Q29" i="40" s="1"/>
  <c r="O26" i="38"/>
  <c r="O41" i="37"/>
  <c r="O38" i="36"/>
  <c r="O25" i="36"/>
  <c r="O29" i="40" s="1"/>
  <c r="M26" i="38"/>
  <c r="M41" i="37"/>
  <c r="M43" i="37" s="1"/>
  <c r="M35" i="40" s="1"/>
  <c r="M38" i="36"/>
  <c r="M40" i="36" s="1"/>
  <c r="M31" i="40" s="1"/>
  <c r="D34" i="43" s="1"/>
  <c r="M25" i="36"/>
  <c r="M29" i="40" s="1"/>
  <c r="K26" i="38"/>
  <c r="K41" i="37"/>
  <c r="K43" i="37" s="1"/>
  <c r="K35" i="40" s="1"/>
  <c r="K38" i="36"/>
  <c r="K40" i="36" s="1"/>
  <c r="K31" i="40" s="1"/>
  <c r="K25" i="36"/>
  <c r="K29" i="40" s="1"/>
  <c r="I26" i="38"/>
  <c r="I41" i="37"/>
  <c r="I43" i="37" s="1"/>
  <c r="I35" i="40" s="1"/>
  <c r="I38" i="36"/>
  <c r="I40" i="36" s="1"/>
  <c r="I31" i="40" s="1"/>
  <c r="I25" i="36"/>
  <c r="I29" i="40" s="1"/>
  <c r="G26" i="38"/>
  <c r="G41" i="37"/>
  <c r="G38" i="36"/>
  <c r="G40" i="36" s="1"/>
  <c r="G31" i="40" s="1"/>
  <c r="G25" i="36"/>
  <c r="G29" i="40" s="1"/>
  <c r="BG12" i="36"/>
  <c r="BG13" i="36"/>
  <c r="X15" i="36"/>
  <c r="BG15" i="36" s="1"/>
  <c r="BG17" i="36"/>
  <c r="BG18" i="36"/>
  <c r="BG19" i="36"/>
  <c r="BG20" i="36"/>
  <c r="BG21" i="36"/>
  <c r="X23" i="36"/>
  <c r="BG31" i="36"/>
  <c r="BG32" i="36"/>
  <c r="BG33" i="36"/>
  <c r="BG34" i="36"/>
  <c r="X36" i="36"/>
  <c r="BH13" i="36"/>
  <c r="BH17" i="36"/>
  <c r="BH18" i="36"/>
  <c r="BH19" i="36"/>
  <c r="BH20" i="36"/>
  <c r="BH21" i="36"/>
  <c r="AK23" i="36"/>
  <c r="BH31" i="36"/>
  <c r="BH32" i="36"/>
  <c r="BH33" i="36"/>
  <c r="BH34" i="36"/>
  <c r="AK36" i="36"/>
  <c r="BG15" i="37"/>
  <c r="BF15" i="37"/>
  <c r="BG16" i="37"/>
  <c r="BG17" i="37"/>
  <c r="BG18" i="37"/>
  <c r="BG22" i="37"/>
  <c r="BG32" i="37"/>
  <c r="BD39" i="37"/>
  <c r="AZ39" i="37"/>
  <c r="AV39" i="37"/>
  <c r="AR39" i="37"/>
  <c r="AN39" i="37"/>
  <c r="AJ39" i="37"/>
  <c r="AF39" i="37"/>
  <c r="AB39" i="37"/>
  <c r="X39" i="37"/>
  <c r="BG33" i="37"/>
  <c r="T39" i="37"/>
  <c r="P39" i="37"/>
  <c r="L39" i="37"/>
  <c r="H39" i="37"/>
  <c r="BG34" i="37"/>
  <c r="BH35" i="37"/>
  <c r="BG35" i="37"/>
  <c r="BF35" i="37"/>
  <c r="BG36" i="37"/>
  <c r="BG37" i="37"/>
  <c r="E39" i="37"/>
  <c r="BG12" i="37"/>
  <c r="X24" i="37"/>
  <c r="BG14" i="37"/>
  <c r="BH15" i="37"/>
  <c r="BH19" i="37"/>
  <c r="BG19" i="37"/>
  <c r="BG20" i="37"/>
  <c r="BG21" i="37"/>
  <c r="BF12" i="37"/>
  <c r="BF17" i="37"/>
  <c r="BF21" i="37"/>
  <c r="E24" i="37"/>
  <c r="BF33" i="37"/>
  <c r="BF37" i="37"/>
  <c r="BH17" i="37"/>
  <c r="BH21" i="37"/>
  <c r="BH33" i="37"/>
  <c r="BH37" i="37"/>
  <c r="BF14" i="37"/>
  <c r="BF16" i="37"/>
  <c r="BF18" i="37"/>
  <c r="BF20" i="37"/>
  <c r="BF22" i="37"/>
  <c r="BH12" i="37"/>
  <c r="BH14" i="37"/>
  <c r="BH16" i="37"/>
  <c r="BH18" i="37"/>
  <c r="BH20" i="37"/>
  <c r="BH22" i="37"/>
  <c r="AK24" i="37"/>
  <c r="BH32" i="37"/>
  <c r="BH34" i="37"/>
  <c r="BH36" i="37"/>
  <c r="AK39" i="37"/>
  <c r="E40" i="38"/>
  <c r="BF40" i="38" s="1"/>
  <c r="E46" i="38"/>
  <c r="BH12" i="38"/>
  <c r="BH13" i="38"/>
  <c r="AK15" i="38"/>
  <c r="BH15" i="38" s="1"/>
  <c r="E15" i="38"/>
  <c r="BG12" i="38"/>
  <c r="BG13" i="38"/>
  <c r="X15" i="38"/>
  <c r="BG15" i="38" s="1"/>
  <c r="BG33" i="38"/>
  <c r="BG34" i="38"/>
  <c r="BG35" i="38"/>
  <c r="BG36" i="38"/>
  <c r="BG37" i="38"/>
  <c r="BG38" i="38"/>
  <c r="X40" i="38"/>
  <c r="BG40" i="38" s="1"/>
  <c r="BG42" i="38"/>
  <c r="BG43" i="38"/>
  <c r="BG44" i="38"/>
  <c r="X46" i="38"/>
  <c r="BH33" i="38"/>
  <c r="BH34" i="38"/>
  <c r="BH35" i="38"/>
  <c r="BH36" i="38"/>
  <c r="BH37" i="38"/>
  <c r="BH38" i="38"/>
  <c r="AK40" i="38"/>
  <c r="BH40" i="38" s="1"/>
  <c r="BH42" i="38"/>
  <c r="BH43" i="38"/>
  <c r="BH44" i="38"/>
  <c r="AK46" i="38"/>
  <c r="BF12" i="39"/>
  <c r="E18" i="39"/>
  <c r="E43" i="40" s="1"/>
  <c r="BG12" i="39"/>
  <c r="BH12" i="39"/>
  <c r="F44" i="35"/>
  <c r="G44" i="35"/>
  <c r="H44" i="35"/>
  <c r="I44" i="35"/>
  <c r="J44" i="35"/>
  <c r="K44" i="35"/>
  <c r="L44" i="35"/>
  <c r="M44" i="35"/>
  <c r="N44" i="35"/>
  <c r="O44" i="35"/>
  <c r="P44" i="35"/>
  <c r="Q44" i="35"/>
  <c r="R44" i="35"/>
  <c r="S44" i="35"/>
  <c r="T44" i="35"/>
  <c r="U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F43" i="35"/>
  <c r="G43" i="35"/>
  <c r="H43" i="35"/>
  <c r="I43" i="35"/>
  <c r="J43" i="35"/>
  <c r="K43" i="35"/>
  <c r="L43" i="35"/>
  <c r="M43" i="35"/>
  <c r="N43" i="35"/>
  <c r="O43" i="35"/>
  <c r="P43" i="35"/>
  <c r="Q43" i="35"/>
  <c r="R43" i="35"/>
  <c r="S43" i="35"/>
  <c r="T43" i="35"/>
  <c r="U43" i="35"/>
  <c r="V46" i="35"/>
  <c r="W43" i="35"/>
  <c r="W46" i="35" s="1"/>
  <c r="X43" i="35"/>
  <c r="Y43" i="35"/>
  <c r="Y46" i="35" s="1"/>
  <c r="Z43" i="35"/>
  <c r="Z46" i="35" s="1"/>
  <c r="AA43" i="35"/>
  <c r="AA46" i="35" s="1"/>
  <c r="AA48" i="35" s="1"/>
  <c r="AA26" i="40" s="1"/>
  <c r="AB43" i="35"/>
  <c r="AB46" i="35" s="1"/>
  <c r="AC43" i="35"/>
  <c r="AC46" i="35" s="1"/>
  <c r="AD43" i="35"/>
  <c r="AD46" i="35" s="1"/>
  <c r="AE43" i="35"/>
  <c r="AE46" i="35" s="1"/>
  <c r="AF43" i="35"/>
  <c r="AF46" i="35" s="1"/>
  <c r="AG43" i="35"/>
  <c r="AG46" i="35" s="1"/>
  <c r="AH43" i="35"/>
  <c r="AH46" i="35" s="1"/>
  <c r="AI43" i="35"/>
  <c r="AI46" i="35" s="1"/>
  <c r="AI48" i="35" s="1"/>
  <c r="AI26" i="40" s="1"/>
  <c r="AJ43" i="35"/>
  <c r="AJ46" i="35" s="1"/>
  <c r="AJ48" i="35" s="1"/>
  <c r="AJ26" i="40" s="1"/>
  <c r="AK43" i="35"/>
  <c r="AL43" i="35"/>
  <c r="AL46" i="35" s="1"/>
  <c r="AM43" i="35"/>
  <c r="AM46" i="35" s="1"/>
  <c r="AN43" i="35"/>
  <c r="AN46" i="35" s="1"/>
  <c r="AO43" i="35"/>
  <c r="AO46" i="35" s="1"/>
  <c r="AP43" i="35"/>
  <c r="AP46" i="35" s="1"/>
  <c r="AQ43" i="35"/>
  <c r="AQ46" i="35" s="1"/>
  <c r="AR43" i="35"/>
  <c r="AR46" i="35" s="1"/>
  <c r="AS43" i="35"/>
  <c r="AS46" i="35" s="1"/>
  <c r="AT43" i="35"/>
  <c r="AT46" i="35" s="1"/>
  <c r="AU43" i="35"/>
  <c r="AU46" i="35" s="1"/>
  <c r="AV43" i="35"/>
  <c r="AV46" i="35" s="1"/>
  <c r="AW43" i="35"/>
  <c r="AW46" i="35" s="1"/>
  <c r="AX43" i="35"/>
  <c r="AX46" i="35" s="1"/>
  <c r="AX48" i="35" s="1"/>
  <c r="AX26" i="40" s="1"/>
  <c r="AY43" i="35"/>
  <c r="AY46" i="35" s="1"/>
  <c r="AY48" i="35" s="1"/>
  <c r="AY26" i="40" s="1"/>
  <c r="AZ43" i="35"/>
  <c r="AZ46" i="35" s="1"/>
  <c r="AZ48" i="35" s="1"/>
  <c r="AZ26" i="40" s="1"/>
  <c r="BA43" i="35"/>
  <c r="BA46" i="35" s="1"/>
  <c r="BB43" i="35"/>
  <c r="BB46" i="35" s="1"/>
  <c r="BC43" i="35"/>
  <c r="BC46" i="35" s="1"/>
  <c r="BC48" i="35" s="1"/>
  <c r="BC26" i="40" s="1"/>
  <c r="BD43" i="35"/>
  <c r="BD46" i="35" s="1"/>
  <c r="BE43" i="35"/>
  <c r="BE46" i="35" s="1"/>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G41" i="35" s="1"/>
  <c r="H30" i="35"/>
  <c r="H41" i="35" s="1"/>
  <c r="I30" i="35"/>
  <c r="I41" i="35" s="1"/>
  <c r="J30" i="35"/>
  <c r="J41" i="35" s="1"/>
  <c r="K30" i="35"/>
  <c r="K41" i="35" s="1"/>
  <c r="L30" i="35"/>
  <c r="L41" i="35" s="1"/>
  <c r="M30" i="35"/>
  <c r="M41" i="35" s="1"/>
  <c r="N30" i="35"/>
  <c r="N41" i="35" s="1"/>
  <c r="O30" i="35"/>
  <c r="O41" i="35" s="1"/>
  <c r="P30" i="35"/>
  <c r="P41" i="35" s="1"/>
  <c r="Q30" i="35"/>
  <c r="Q41" i="35" s="1"/>
  <c r="R30" i="35"/>
  <c r="R41" i="35" s="1"/>
  <c r="S30" i="35"/>
  <c r="S41" i="35" s="1"/>
  <c r="T30" i="35"/>
  <c r="T41" i="35" s="1"/>
  <c r="U30" i="35"/>
  <c r="U41" i="35" s="1"/>
  <c r="V30" i="35"/>
  <c r="V41" i="35" s="1"/>
  <c r="W30" i="35"/>
  <c r="W41" i="35" s="1"/>
  <c r="X30" i="35"/>
  <c r="Y30" i="35"/>
  <c r="Y41" i="35" s="1"/>
  <c r="Z30" i="35"/>
  <c r="Z41" i="35" s="1"/>
  <c r="AA30" i="35"/>
  <c r="AA41" i="35" s="1"/>
  <c r="AB30" i="35"/>
  <c r="AB41" i="35" s="1"/>
  <c r="AC30" i="35"/>
  <c r="AC41" i="35" s="1"/>
  <c r="AD30" i="35"/>
  <c r="AD41" i="35" s="1"/>
  <c r="AE30" i="35"/>
  <c r="AE41" i="35" s="1"/>
  <c r="AF30" i="35"/>
  <c r="AF41" i="35" s="1"/>
  <c r="AG30" i="35"/>
  <c r="AG41" i="35" s="1"/>
  <c r="AH30" i="35"/>
  <c r="AH41" i="35" s="1"/>
  <c r="AI30" i="35"/>
  <c r="AI41" i="35" s="1"/>
  <c r="AJ30" i="35"/>
  <c r="AJ41" i="35" s="1"/>
  <c r="AK30" i="35"/>
  <c r="AL30" i="35"/>
  <c r="AL41" i="35" s="1"/>
  <c r="AM30" i="35"/>
  <c r="AM41" i="35" s="1"/>
  <c r="AN30" i="35"/>
  <c r="AN41" i="35" s="1"/>
  <c r="AO30" i="35"/>
  <c r="AO41" i="35" s="1"/>
  <c r="AP30" i="35"/>
  <c r="AP41" i="35" s="1"/>
  <c r="AQ30" i="35"/>
  <c r="AQ41" i="35" s="1"/>
  <c r="AR30" i="35"/>
  <c r="AR41" i="35" s="1"/>
  <c r="AS30" i="35"/>
  <c r="AS41" i="35" s="1"/>
  <c r="AT30" i="35"/>
  <c r="AT41" i="35" s="1"/>
  <c r="AU30" i="35"/>
  <c r="AU41" i="35" s="1"/>
  <c r="AV30" i="35"/>
  <c r="AV41" i="35" s="1"/>
  <c r="AW30" i="35"/>
  <c r="AW41" i="35" s="1"/>
  <c r="AX30" i="35"/>
  <c r="AX41" i="35" s="1"/>
  <c r="AY30" i="35"/>
  <c r="AY41" i="35" s="1"/>
  <c r="AZ30" i="35"/>
  <c r="AZ41" i="35" s="1"/>
  <c r="BA30" i="35"/>
  <c r="BA41" i="35" s="1"/>
  <c r="BB30" i="35"/>
  <c r="BB41" i="35" s="1"/>
  <c r="BC30" i="35"/>
  <c r="BC41" i="35" s="1"/>
  <c r="BD30" i="35"/>
  <c r="BD41" i="35" s="1"/>
  <c r="BE30" i="35"/>
  <c r="BE41" i="35" s="1"/>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F17" i="35"/>
  <c r="G17" i="35"/>
  <c r="G22" i="35" s="1"/>
  <c r="H17" i="35"/>
  <c r="H22" i="35" s="1"/>
  <c r="I17" i="35"/>
  <c r="I22" i="35" s="1"/>
  <c r="J17" i="35"/>
  <c r="J22" i="35" s="1"/>
  <c r="K17" i="35"/>
  <c r="K22" i="35" s="1"/>
  <c r="L17" i="35"/>
  <c r="L22" i="35" s="1"/>
  <c r="M17" i="35"/>
  <c r="N17" i="35"/>
  <c r="N22" i="35" s="1"/>
  <c r="O17" i="35"/>
  <c r="O22" i="35" s="1"/>
  <c r="P17" i="35"/>
  <c r="P22" i="35" s="1"/>
  <c r="Q17" i="35"/>
  <c r="Q22" i="35" s="1"/>
  <c r="R17" i="35"/>
  <c r="R22" i="35" s="1"/>
  <c r="S17" i="35"/>
  <c r="S22" i="35" s="1"/>
  <c r="T17" i="35"/>
  <c r="T22" i="35" s="1"/>
  <c r="U17" i="35"/>
  <c r="V17" i="35"/>
  <c r="V22" i="35" s="1"/>
  <c r="W17" i="35"/>
  <c r="W22" i="35" s="1"/>
  <c r="X17" i="35"/>
  <c r="Y17" i="35"/>
  <c r="Y22" i="35" s="1"/>
  <c r="Z17" i="35"/>
  <c r="Z22" i="35" s="1"/>
  <c r="AA17" i="35"/>
  <c r="AA22" i="35" s="1"/>
  <c r="AB17" i="35"/>
  <c r="AB22" i="35" s="1"/>
  <c r="AC17" i="35"/>
  <c r="AD17" i="35"/>
  <c r="AD22" i="35" s="1"/>
  <c r="AE17" i="35"/>
  <c r="AE22" i="35" s="1"/>
  <c r="AF17" i="35"/>
  <c r="AF22" i="35" s="1"/>
  <c r="AG17" i="35"/>
  <c r="AG22" i="35" s="1"/>
  <c r="AH17" i="35"/>
  <c r="AH22" i="35" s="1"/>
  <c r="AI17" i="35"/>
  <c r="AI22" i="35" s="1"/>
  <c r="AJ17" i="35"/>
  <c r="AJ22" i="35" s="1"/>
  <c r="AK17" i="35"/>
  <c r="AK22" i="35" s="1"/>
  <c r="AL17" i="35"/>
  <c r="AL22" i="35" s="1"/>
  <c r="AM17" i="35"/>
  <c r="AM22" i="35" s="1"/>
  <c r="AN17" i="35"/>
  <c r="AN22" i="35" s="1"/>
  <c r="AO17" i="35"/>
  <c r="AO22" i="35" s="1"/>
  <c r="AP17" i="35"/>
  <c r="AP22" i="35" s="1"/>
  <c r="AQ17" i="35"/>
  <c r="AQ22" i="35" s="1"/>
  <c r="AR17" i="35"/>
  <c r="AR22" i="35" s="1"/>
  <c r="AS17" i="35"/>
  <c r="AT17" i="35"/>
  <c r="AT22" i="35" s="1"/>
  <c r="AU17" i="35"/>
  <c r="AU22" i="35" s="1"/>
  <c r="AV17" i="35"/>
  <c r="AV22" i="35" s="1"/>
  <c r="AW17" i="35"/>
  <c r="AW22" i="35" s="1"/>
  <c r="AX17" i="35"/>
  <c r="AX22" i="35" s="1"/>
  <c r="AY17" i="35"/>
  <c r="AY22" i="35" s="1"/>
  <c r="AZ17" i="35"/>
  <c r="AZ22" i="35" s="1"/>
  <c r="BA17" i="35"/>
  <c r="BB17" i="35"/>
  <c r="BB22" i="35" s="1"/>
  <c r="BC17" i="35"/>
  <c r="BC22" i="35" s="1"/>
  <c r="BD17" i="35"/>
  <c r="BD22" i="35" s="1"/>
  <c r="BE17" i="35"/>
  <c r="BE22" i="35" s="1"/>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G15" i="35" s="1"/>
  <c r="G17" i="40" s="1"/>
  <c r="H12" i="35"/>
  <c r="H15" i="35" s="1"/>
  <c r="H17" i="40" s="1"/>
  <c r="I12" i="35"/>
  <c r="J12" i="35"/>
  <c r="J15" i="35" s="1"/>
  <c r="J17" i="40" s="1"/>
  <c r="K12" i="35"/>
  <c r="K15" i="35" s="1"/>
  <c r="K17" i="40" s="1"/>
  <c r="L12" i="35"/>
  <c r="L15" i="35" s="1"/>
  <c r="L17" i="40" s="1"/>
  <c r="M12" i="35"/>
  <c r="M15" i="35" s="1"/>
  <c r="M17" i="40" s="1"/>
  <c r="N12" i="35"/>
  <c r="N15" i="35" s="1"/>
  <c r="N17" i="40" s="1"/>
  <c r="O12" i="35"/>
  <c r="O15" i="35" s="1"/>
  <c r="O17" i="40" s="1"/>
  <c r="P12" i="35"/>
  <c r="P15" i="35" s="1"/>
  <c r="P17" i="40" s="1"/>
  <c r="Q12" i="35"/>
  <c r="Q15" i="35" s="1"/>
  <c r="Q17" i="40" s="1"/>
  <c r="R12" i="35"/>
  <c r="R15" i="35" s="1"/>
  <c r="R17" i="40" s="1"/>
  <c r="S12" i="35"/>
  <c r="S15" i="35" s="1"/>
  <c r="S17" i="40" s="1"/>
  <c r="T12" i="35"/>
  <c r="T15" i="35" s="1"/>
  <c r="T17" i="40" s="1"/>
  <c r="U12" i="35"/>
  <c r="U15" i="35" s="1"/>
  <c r="U17" i="40" s="1"/>
  <c r="V12" i="35"/>
  <c r="V15" i="35" s="1"/>
  <c r="V17" i="40" s="1"/>
  <c r="W12" i="35"/>
  <c r="W15" i="35" s="1"/>
  <c r="W17" i="40" s="1"/>
  <c r="X12" i="35"/>
  <c r="Y12" i="35"/>
  <c r="Y15" i="35" s="1"/>
  <c r="Y17" i="40" s="1"/>
  <c r="Z12" i="35"/>
  <c r="Z15" i="35" s="1"/>
  <c r="Z17" i="40" s="1"/>
  <c r="AA12" i="35"/>
  <c r="AA15" i="35" s="1"/>
  <c r="AA17" i="40" s="1"/>
  <c r="AB12" i="35"/>
  <c r="AB15" i="35" s="1"/>
  <c r="AB17" i="40" s="1"/>
  <c r="AC12" i="35"/>
  <c r="AC15" i="35" s="1"/>
  <c r="AC17" i="40" s="1"/>
  <c r="AD12" i="35"/>
  <c r="AD15" i="35" s="1"/>
  <c r="AD17" i="40" s="1"/>
  <c r="AE12" i="35"/>
  <c r="AE15" i="35" s="1"/>
  <c r="AE17" i="40" s="1"/>
  <c r="AF12" i="35"/>
  <c r="AF15" i="35" s="1"/>
  <c r="AF17" i="40" s="1"/>
  <c r="AG12" i="35"/>
  <c r="AG15" i="35" s="1"/>
  <c r="AG17" i="40" s="1"/>
  <c r="AH12" i="35"/>
  <c r="AH15" i="35" s="1"/>
  <c r="AH17" i="40" s="1"/>
  <c r="AI12" i="35"/>
  <c r="AI15" i="35" s="1"/>
  <c r="AI17" i="40" s="1"/>
  <c r="AJ12" i="35"/>
  <c r="AJ15" i="35" s="1"/>
  <c r="AJ17" i="40" s="1"/>
  <c r="AK12" i="35"/>
  <c r="AL12" i="35"/>
  <c r="AL15" i="35" s="1"/>
  <c r="AL17" i="40" s="1"/>
  <c r="AM12" i="35"/>
  <c r="AM15" i="35" s="1"/>
  <c r="AM17" i="40" s="1"/>
  <c r="AN12" i="35"/>
  <c r="AN15" i="35" s="1"/>
  <c r="AN17" i="40" s="1"/>
  <c r="AO12" i="35"/>
  <c r="AO15" i="35" s="1"/>
  <c r="AO17" i="40" s="1"/>
  <c r="AP12" i="35"/>
  <c r="AP15" i="35" s="1"/>
  <c r="AP17" i="40" s="1"/>
  <c r="AQ12" i="35"/>
  <c r="AQ15" i="35" s="1"/>
  <c r="AQ17" i="40" s="1"/>
  <c r="AR12" i="35"/>
  <c r="AR15" i="35" s="1"/>
  <c r="AR17" i="40" s="1"/>
  <c r="AS12" i="35"/>
  <c r="AS15" i="35" s="1"/>
  <c r="AS17" i="40" s="1"/>
  <c r="AT12" i="35"/>
  <c r="AT15" i="35" s="1"/>
  <c r="AT17" i="40" s="1"/>
  <c r="AU12" i="35"/>
  <c r="AU15" i="35" s="1"/>
  <c r="AU17" i="40" s="1"/>
  <c r="AV12" i="35"/>
  <c r="AV15" i="35" s="1"/>
  <c r="AV17" i="40" s="1"/>
  <c r="AW12" i="35"/>
  <c r="AW15" i="35" s="1"/>
  <c r="AW17" i="40" s="1"/>
  <c r="AX12" i="35"/>
  <c r="AX15" i="35" s="1"/>
  <c r="AX17" i="40" s="1"/>
  <c r="AY12" i="35"/>
  <c r="AY15" i="35" s="1"/>
  <c r="AY17" i="40" s="1"/>
  <c r="AZ12" i="35"/>
  <c r="AZ15" i="35" s="1"/>
  <c r="AZ17" i="40" s="1"/>
  <c r="BA12" i="35"/>
  <c r="BA15" i="35" s="1"/>
  <c r="BA17" i="40" s="1"/>
  <c r="BB12" i="35"/>
  <c r="BB15" i="35" s="1"/>
  <c r="BB17" i="40" s="1"/>
  <c r="BC12" i="35"/>
  <c r="BC15" i="35" s="1"/>
  <c r="BC17" i="40" s="1"/>
  <c r="BD12" i="35"/>
  <c r="BD15" i="35" s="1"/>
  <c r="BD17" i="40" s="1"/>
  <c r="BE12" i="35"/>
  <c r="BE15" i="35" s="1"/>
  <c r="BE17" i="40" s="1"/>
  <c r="AI43" i="37" l="1"/>
  <c r="AI35" i="40" s="1"/>
  <c r="AI25" i="36"/>
  <c r="AI29" i="40" s="1"/>
  <c r="AJ38" i="36"/>
  <c r="O40" i="36"/>
  <c r="O31" i="40" s="1"/>
  <c r="Q40" i="36"/>
  <c r="Q31" i="40" s="1"/>
  <c r="AE40" i="36"/>
  <c r="AE31" i="40" s="1"/>
  <c r="AO40" i="36"/>
  <c r="AO31" i="40" s="1"/>
  <c r="AQ40" i="36"/>
  <c r="AQ31" i="40" s="1"/>
  <c r="AU40" i="36"/>
  <c r="AU31" i="40" s="1"/>
  <c r="AW40" i="36"/>
  <c r="AW31" i="40" s="1"/>
  <c r="F40" i="36"/>
  <c r="F31" i="40" s="1"/>
  <c r="P40" i="36"/>
  <c r="P31" i="40" s="1"/>
  <c r="T40" i="36"/>
  <c r="T31" i="40" s="1"/>
  <c r="V40" i="36"/>
  <c r="V31" i="40" s="1"/>
  <c r="Z40" i="36"/>
  <c r="Z31" i="40" s="1"/>
  <c r="AH40" i="36"/>
  <c r="AH31" i="40" s="1"/>
  <c r="AJ40" i="36"/>
  <c r="AJ31" i="40" s="1"/>
  <c r="AL40" i="36"/>
  <c r="AL31" i="40" s="1"/>
  <c r="AT40" i="36"/>
  <c r="AT31" i="40" s="1"/>
  <c r="AV40" i="36"/>
  <c r="AV31" i="40" s="1"/>
  <c r="AX40" i="36"/>
  <c r="AX31" i="40" s="1"/>
  <c r="AZ40" i="36"/>
  <c r="AZ31" i="40" s="1"/>
  <c r="BB40" i="36"/>
  <c r="BB31" i="40" s="1"/>
  <c r="D21" i="43"/>
  <c r="U46" i="35"/>
  <c r="U48" i="35" s="1"/>
  <c r="U26" i="40" s="1"/>
  <c r="S46" i="35"/>
  <c r="S48" i="35" s="1"/>
  <c r="S26" i="40" s="1"/>
  <c r="Q46" i="35"/>
  <c r="O46" i="35"/>
  <c r="O48" i="35" s="1"/>
  <c r="O26" i="40" s="1"/>
  <c r="BF15" i="38"/>
  <c r="Q43" i="37"/>
  <c r="Q35" i="40" s="1"/>
  <c r="AW43" i="37"/>
  <c r="AW35" i="40" s="1"/>
  <c r="F43" i="37"/>
  <c r="F35" i="40" s="1"/>
  <c r="V43" i="37"/>
  <c r="V35" i="40" s="1"/>
  <c r="Z43" i="37"/>
  <c r="Z35" i="40" s="1"/>
  <c r="D44" i="43"/>
  <c r="D32" i="43"/>
  <c r="M46" i="35"/>
  <c r="K46" i="35"/>
  <c r="I46" i="35"/>
  <c r="I48" i="35" s="1"/>
  <c r="I26" i="40" s="1"/>
  <c r="G46" i="35"/>
  <c r="BD48" i="35"/>
  <c r="BD26" i="40" s="1"/>
  <c r="BB48" i="35"/>
  <c r="BB26" i="40" s="1"/>
  <c r="AV48" i="35"/>
  <c r="AV26" i="40" s="1"/>
  <c r="AT48" i="35"/>
  <c r="AT26" i="40" s="1"/>
  <c r="AR48" i="35"/>
  <c r="AR26" i="40" s="1"/>
  <c r="AN48" i="35"/>
  <c r="AN26" i="40" s="1"/>
  <c r="AL48" i="35"/>
  <c r="AL26" i="40" s="1"/>
  <c r="AH48" i="35"/>
  <c r="AH26" i="40" s="1"/>
  <c r="AF48" i="35"/>
  <c r="AF26" i="40" s="1"/>
  <c r="T46" i="35"/>
  <c r="T48" i="35" s="1"/>
  <c r="T26" i="40" s="1"/>
  <c r="R46" i="35"/>
  <c r="P46" i="35"/>
  <c r="P48" i="35" s="1"/>
  <c r="P26" i="40" s="1"/>
  <c r="N46" i="35"/>
  <c r="N48" i="35" s="1"/>
  <c r="N26" i="40" s="1"/>
  <c r="L46" i="35"/>
  <c r="J46" i="35"/>
  <c r="J48" i="35" s="1"/>
  <c r="J26" i="40" s="1"/>
  <c r="H46" i="35"/>
  <c r="H48" i="35" s="1"/>
  <c r="H26" i="40" s="1"/>
  <c r="AA40" i="36"/>
  <c r="AA31" i="40" s="1"/>
  <c r="BE48" i="35"/>
  <c r="BE26" i="40" s="1"/>
  <c r="BA48" i="35"/>
  <c r="BA26" i="40" s="1"/>
  <c r="AW48" i="35"/>
  <c r="AW26" i="40" s="1"/>
  <c r="AU48" i="35"/>
  <c r="AU26" i="40" s="1"/>
  <c r="AS48" i="35"/>
  <c r="AS26" i="40" s="1"/>
  <c r="AQ48" i="35"/>
  <c r="AQ26" i="40" s="1"/>
  <c r="AO48" i="35"/>
  <c r="AO26" i="40" s="1"/>
  <c r="AM48" i="35"/>
  <c r="AM26" i="40" s="1"/>
  <c r="AG48" i="35"/>
  <c r="AG26" i="40" s="1"/>
  <c r="AC48" i="35"/>
  <c r="AC26" i="40" s="1"/>
  <c r="Y48" i="35"/>
  <c r="Y26" i="40" s="1"/>
  <c r="W48" i="35"/>
  <c r="W26" i="40" s="1"/>
  <c r="K48" i="35"/>
  <c r="K26" i="40" s="1"/>
  <c r="G48" i="35"/>
  <c r="G26" i="40" s="1"/>
  <c r="H43" i="37"/>
  <c r="H35" i="40" s="1"/>
  <c r="AJ43" i="37"/>
  <c r="AJ35" i="40" s="1"/>
  <c r="AR43" i="37"/>
  <c r="AR35" i="40" s="1"/>
  <c r="AZ43" i="37"/>
  <c r="AZ35" i="40" s="1"/>
  <c r="AT43" i="37"/>
  <c r="AT35" i="40" s="1"/>
  <c r="R48" i="35"/>
  <c r="R26" i="40" s="1"/>
  <c r="AX43" i="37"/>
  <c r="AX35" i="40" s="1"/>
  <c r="Q48" i="35"/>
  <c r="Q26" i="40" s="1"/>
  <c r="AP48" i="35"/>
  <c r="AP26" i="40" s="1"/>
  <c r="AB48" i="35"/>
  <c r="AB26" i="40" s="1"/>
  <c r="AE48" i="35"/>
  <c r="AE26" i="40" s="1"/>
  <c r="V48" i="35"/>
  <c r="V26" i="40" s="1"/>
  <c r="T43" i="37"/>
  <c r="T35" i="40" s="1"/>
  <c r="BB43" i="37"/>
  <c r="BB35" i="40" s="1"/>
  <c r="AV43" i="37"/>
  <c r="AV35" i="40" s="1"/>
  <c r="AS22" i="35"/>
  <c r="AS16" i="39" s="1"/>
  <c r="AS18" i="39" s="1"/>
  <c r="AS43" i="40" s="1"/>
  <c r="AQ43" i="37"/>
  <c r="AQ35" i="40" s="1"/>
  <c r="AO43" i="37"/>
  <c r="AO35" i="40" s="1"/>
  <c r="AN40" i="36"/>
  <c r="AN31" i="40" s="1"/>
  <c r="AN43" i="37"/>
  <c r="AN35" i="40" s="1"/>
  <c r="AL43" i="37"/>
  <c r="AL35" i="40" s="1"/>
  <c r="AH43" i="37"/>
  <c r="AH35" i="40" s="1"/>
  <c r="AF43" i="37"/>
  <c r="AF35" i="40" s="1"/>
  <c r="AB43" i="37"/>
  <c r="AB35" i="40" s="1"/>
  <c r="AE43" i="37"/>
  <c r="AE35" i="40" s="1"/>
  <c r="AC22" i="35"/>
  <c r="AC16" i="39" s="1"/>
  <c r="AC18" i="39" s="1"/>
  <c r="AC43" i="40" s="1"/>
  <c r="AA43" i="37"/>
  <c r="AA35" i="40" s="1"/>
  <c r="U22" i="35"/>
  <c r="U16" i="39" s="1"/>
  <c r="U18" i="39" s="1"/>
  <c r="U43" i="40" s="1"/>
  <c r="AU43" i="37"/>
  <c r="AU35" i="40" s="1"/>
  <c r="AD48" i="35"/>
  <c r="AD26" i="40" s="1"/>
  <c r="AD43" i="37"/>
  <c r="AD35" i="40" s="1"/>
  <c r="P43" i="37"/>
  <c r="P35" i="40" s="1"/>
  <c r="G43" i="37"/>
  <c r="G35" i="40" s="1"/>
  <c r="I15" i="35"/>
  <c r="I17" i="40" s="1"/>
  <c r="BD43" i="37"/>
  <c r="BD35" i="40" s="1"/>
  <c r="L48" i="35"/>
  <c r="L26" i="40" s="1"/>
  <c r="L43" i="37"/>
  <c r="L35" i="40" s="1"/>
  <c r="M48" i="35"/>
  <c r="M26" i="40" s="1"/>
  <c r="M22" i="35"/>
  <c r="M16" i="39" s="1"/>
  <c r="M18" i="39" s="1"/>
  <c r="M43" i="40" s="1"/>
  <c r="Z48" i="35"/>
  <c r="Z26" i="40" s="1"/>
  <c r="BA22" i="35"/>
  <c r="BA16" i="39" s="1"/>
  <c r="BA18" i="39" s="1"/>
  <c r="BA43" i="40" s="1"/>
  <c r="BH39" i="37"/>
  <c r="O43" i="37"/>
  <c r="O35" i="40" s="1"/>
  <c r="BE16" i="39"/>
  <c r="BE18" i="39" s="1"/>
  <c r="BE43" i="40" s="1"/>
  <c r="BE24" i="35"/>
  <c r="BE19" i="40" s="1"/>
  <c r="AW16" i="39"/>
  <c r="AW18" i="39" s="1"/>
  <c r="AW43" i="40" s="1"/>
  <c r="AW24" i="35"/>
  <c r="AW19" i="40" s="1"/>
  <c r="AO16" i="39"/>
  <c r="AO18" i="39" s="1"/>
  <c r="AO43" i="40" s="1"/>
  <c r="AO24" i="35"/>
  <c r="AO19" i="40" s="1"/>
  <c r="AG16" i="39"/>
  <c r="AG18" i="39" s="1"/>
  <c r="AG43" i="40" s="1"/>
  <c r="AG24" i="35"/>
  <c r="AG19" i="40" s="1"/>
  <c r="Y16" i="39"/>
  <c r="Y18" i="39" s="1"/>
  <c r="Y43" i="40" s="1"/>
  <c r="Y24" i="35"/>
  <c r="Y19" i="40" s="1"/>
  <c r="Q16" i="39"/>
  <c r="Q18" i="39" s="1"/>
  <c r="Q43" i="40" s="1"/>
  <c r="Q24" i="35"/>
  <c r="Q19" i="40" s="1"/>
  <c r="I16" i="39"/>
  <c r="I18" i="39" s="1"/>
  <c r="I43" i="40" s="1"/>
  <c r="BG12" i="35"/>
  <c r="BF12" i="35"/>
  <c r="F15" i="35"/>
  <c r="BG13" i="35"/>
  <c r="BF13" i="35"/>
  <c r="AK16" i="39"/>
  <c r="X15" i="35"/>
  <c r="BC16" i="39"/>
  <c r="BC18" i="39" s="1"/>
  <c r="BC43" i="40" s="1"/>
  <c r="BC24" i="35"/>
  <c r="BC19" i="40" s="1"/>
  <c r="AY16" i="39"/>
  <c r="AY18" i="39" s="1"/>
  <c r="AY43" i="40" s="1"/>
  <c r="AY24" i="35"/>
  <c r="AY19" i="40" s="1"/>
  <c r="AU16" i="39"/>
  <c r="AU18" i="39" s="1"/>
  <c r="AU43" i="40" s="1"/>
  <c r="AU24" i="35"/>
  <c r="AU19" i="40" s="1"/>
  <c r="AQ16" i="39"/>
  <c r="AQ18" i="39" s="1"/>
  <c r="AQ43" i="40" s="1"/>
  <c r="AQ24" i="35"/>
  <c r="AQ19" i="40" s="1"/>
  <c r="AM16" i="39"/>
  <c r="AM18" i="39" s="1"/>
  <c r="AM43" i="40" s="1"/>
  <c r="AM24" i="35"/>
  <c r="AM19" i="40" s="1"/>
  <c r="BH17" i="35"/>
  <c r="AI16" i="39"/>
  <c r="AI18" i="39" s="1"/>
  <c r="AI43" i="40" s="1"/>
  <c r="AI24" i="35"/>
  <c r="AI19" i="40" s="1"/>
  <c r="AE16" i="39"/>
  <c r="AE18" i="39" s="1"/>
  <c r="AE43" i="40" s="1"/>
  <c r="AE24" i="35"/>
  <c r="AE19" i="40" s="1"/>
  <c r="AA16" i="39"/>
  <c r="AA18" i="39" s="1"/>
  <c r="AA43" i="40" s="1"/>
  <c r="AA24" i="35"/>
  <c r="AA19" i="40" s="1"/>
  <c r="W16" i="39"/>
  <c r="W18" i="39" s="1"/>
  <c r="W43" i="40" s="1"/>
  <c r="W24" i="35"/>
  <c r="W19" i="40" s="1"/>
  <c r="S16" i="39"/>
  <c r="S18" i="39" s="1"/>
  <c r="S43" i="40" s="1"/>
  <c r="S24" i="35"/>
  <c r="S19" i="40" s="1"/>
  <c r="O16" i="39"/>
  <c r="O18" i="39" s="1"/>
  <c r="O43" i="40" s="1"/>
  <c r="O24" i="35"/>
  <c r="O19" i="40" s="1"/>
  <c r="K16" i="39"/>
  <c r="K18" i="39" s="1"/>
  <c r="K43" i="40" s="1"/>
  <c r="K24" i="35"/>
  <c r="K19" i="40" s="1"/>
  <c r="G16" i="39"/>
  <c r="G18" i="39" s="1"/>
  <c r="G43" i="40" s="1"/>
  <c r="G24" i="35"/>
  <c r="G19" i="40" s="1"/>
  <c r="BH18" i="35"/>
  <c r="BH19" i="35"/>
  <c r="BH20" i="35"/>
  <c r="BA24" i="35"/>
  <c r="BA19" i="40" s="1"/>
  <c r="BE24" i="40"/>
  <c r="BE24" i="38"/>
  <c r="BE28" i="38" s="1"/>
  <c r="BE39" i="40" s="1"/>
  <c r="BC24" i="40"/>
  <c r="BC24" i="38"/>
  <c r="BC28" i="38" s="1"/>
  <c r="BC39" i="40" s="1"/>
  <c r="BA24" i="40"/>
  <c r="BA24" i="38"/>
  <c r="BA28" i="38" s="1"/>
  <c r="BA39" i="40" s="1"/>
  <c r="AY24" i="40"/>
  <c r="AY24" i="38"/>
  <c r="AY28" i="38" s="1"/>
  <c r="AY39" i="40" s="1"/>
  <c r="AW24" i="40"/>
  <c r="AW24" i="38"/>
  <c r="AW28" i="38" s="1"/>
  <c r="AW39" i="40" s="1"/>
  <c r="AU24" i="40"/>
  <c r="AU24" i="38"/>
  <c r="AU28" i="38" s="1"/>
  <c r="AU39" i="40" s="1"/>
  <c r="AS24" i="40"/>
  <c r="AS24" i="38"/>
  <c r="AS28" i="38" s="1"/>
  <c r="AS39" i="40" s="1"/>
  <c r="AQ24" i="40"/>
  <c r="AQ24" i="38"/>
  <c r="AQ28" i="38" s="1"/>
  <c r="AQ39" i="40" s="1"/>
  <c r="AO24" i="40"/>
  <c r="AO24" i="38"/>
  <c r="AO28" i="38" s="1"/>
  <c r="AO39" i="40" s="1"/>
  <c r="AM24" i="40"/>
  <c r="AM24" i="38"/>
  <c r="AM28" i="38" s="1"/>
  <c r="AM39" i="40" s="1"/>
  <c r="AI24" i="40"/>
  <c r="AI24" i="38"/>
  <c r="AI28" i="38" s="1"/>
  <c r="AI39" i="40" s="1"/>
  <c r="AG24" i="40"/>
  <c r="AG24" i="38"/>
  <c r="AG28" i="38" s="1"/>
  <c r="AG39" i="40" s="1"/>
  <c r="AE24" i="40"/>
  <c r="AE24" i="38"/>
  <c r="AE28" i="38" s="1"/>
  <c r="AE39" i="40" s="1"/>
  <c r="AC24" i="40"/>
  <c r="AC24" i="38"/>
  <c r="AC28" i="38" s="1"/>
  <c r="AC39" i="40" s="1"/>
  <c r="AA24" i="40"/>
  <c r="AA24" i="38"/>
  <c r="AA28" i="38" s="1"/>
  <c r="AA39" i="40" s="1"/>
  <c r="Y24" i="40"/>
  <c r="Y24" i="38"/>
  <c r="Y28" i="38" s="1"/>
  <c r="Y39" i="40" s="1"/>
  <c r="W24" i="40"/>
  <c r="W24" i="38"/>
  <c r="W28" i="38" s="1"/>
  <c r="W39" i="40" s="1"/>
  <c r="U24" i="40"/>
  <c r="U24" i="38"/>
  <c r="U28" i="38" s="1"/>
  <c r="U39" i="40" s="1"/>
  <c r="S24" i="40"/>
  <c r="S24" i="38"/>
  <c r="S28" i="38" s="1"/>
  <c r="S39" i="40" s="1"/>
  <c r="Q24" i="40"/>
  <c r="Q24" i="38"/>
  <c r="Q28" i="38" s="1"/>
  <c r="Q39" i="40" s="1"/>
  <c r="O24" i="40"/>
  <c r="O24" i="38"/>
  <c r="O28" i="38" s="1"/>
  <c r="O39" i="40" s="1"/>
  <c r="M24" i="40"/>
  <c r="M24" i="38"/>
  <c r="M28" i="38" s="1"/>
  <c r="M39" i="40" s="1"/>
  <c r="K24" i="40"/>
  <c r="K24" i="38"/>
  <c r="K28" i="38" s="1"/>
  <c r="K39" i="40" s="1"/>
  <c r="I24" i="40"/>
  <c r="I24" i="38"/>
  <c r="I28" i="38" s="1"/>
  <c r="I39" i="40" s="1"/>
  <c r="G24" i="40"/>
  <c r="G24" i="38"/>
  <c r="G28" i="38" s="1"/>
  <c r="G39" i="40" s="1"/>
  <c r="BH30" i="35"/>
  <c r="BH31" i="35"/>
  <c r="BH32" i="35"/>
  <c r="BH33" i="35"/>
  <c r="BH34" i="35"/>
  <c r="BH35" i="35"/>
  <c r="BH36" i="35"/>
  <c r="BH37" i="35"/>
  <c r="BH38" i="35"/>
  <c r="BH39" i="35"/>
  <c r="AK41" i="35"/>
  <c r="BH43" i="35"/>
  <c r="BH44" i="35"/>
  <c r="AK46" i="35"/>
  <c r="BH12" i="35"/>
  <c r="BH13" i="35"/>
  <c r="AK15" i="35"/>
  <c r="AK24" i="35" s="1"/>
  <c r="AK19" i="40" s="1"/>
  <c r="BD16" i="39"/>
  <c r="BD18" i="39" s="1"/>
  <c r="BD43" i="40" s="1"/>
  <c r="BD24" i="35"/>
  <c r="BD19" i="40" s="1"/>
  <c r="BB16" i="39"/>
  <c r="BB18" i="39" s="1"/>
  <c r="BB43" i="40" s="1"/>
  <c r="BB24" i="35"/>
  <c r="BB19" i="40" s="1"/>
  <c r="AZ16" i="39"/>
  <c r="AZ18" i="39" s="1"/>
  <c r="AZ43" i="40" s="1"/>
  <c r="AZ24" i="35"/>
  <c r="AZ19" i="40" s="1"/>
  <c r="AX16" i="39"/>
  <c r="AX18" i="39" s="1"/>
  <c r="AX43" i="40" s="1"/>
  <c r="AX24" i="35"/>
  <c r="AX19" i="40" s="1"/>
  <c r="AV16" i="39"/>
  <c r="AV18" i="39" s="1"/>
  <c r="AV43" i="40" s="1"/>
  <c r="AV24" i="35"/>
  <c r="AV19" i="40" s="1"/>
  <c r="AT16" i="39"/>
  <c r="AT18" i="39" s="1"/>
  <c r="AT43" i="40" s="1"/>
  <c r="AT24" i="35"/>
  <c r="AT19" i="40" s="1"/>
  <c r="AR16" i="39"/>
  <c r="AR18" i="39" s="1"/>
  <c r="AR43" i="40" s="1"/>
  <c r="AR24" i="35"/>
  <c r="AR19" i="40" s="1"/>
  <c r="AP16" i="39"/>
  <c r="AP18" i="39" s="1"/>
  <c r="AP43" i="40" s="1"/>
  <c r="AP24" i="35"/>
  <c r="AP19" i="40" s="1"/>
  <c r="AN16" i="39"/>
  <c r="AN18" i="39" s="1"/>
  <c r="AN43" i="40" s="1"/>
  <c r="AN24" i="35"/>
  <c r="AN19" i="40" s="1"/>
  <c r="AL16" i="39"/>
  <c r="AL18" i="39" s="1"/>
  <c r="AL43" i="40" s="1"/>
  <c r="AL24" i="35"/>
  <c r="AL19" i="40" s="1"/>
  <c r="AJ16" i="39"/>
  <c r="AJ18" i="39" s="1"/>
  <c r="AJ43" i="40" s="1"/>
  <c r="AJ24" i="35"/>
  <c r="AJ19" i="40" s="1"/>
  <c r="AH16" i="39"/>
  <c r="AH18" i="39" s="1"/>
  <c r="AH43" i="40" s="1"/>
  <c r="AH24" i="35"/>
  <c r="AH19" i="40" s="1"/>
  <c r="AF16" i="39"/>
  <c r="AF18" i="39" s="1"/>
  <c r="AF43" i="40" s="1"/>
  <c r="AF24" i="35"/>
  <c r="AF19" i="40" s="1"/>
  <c r="AD16" i="39"/>
  <c r="AD18" i="39" s="1"/>
  <c r="AD43" i="40" s="1"/>
  <c r="AD24" i="35"/>
  <c r="AD19" i="40" s="1"/>
  <c r="AB16" i="39"/>
  <c r="AB18" i="39" s="1"/>
  <c r="AB43" i="40" s="1"/>
  <c r="AB24" i="35"/>
  <c r="AB19" i="40" s="1"/>
  <c r="Z16" i="39"/>
  <c r="Z18" i="39" s="1"/>
  <c r="Z43" i="40" s="1"/>
  <c r="Z24" i="35"/>
  <c r="Z19" i="40" s="1"/>
  <c r="V16" i="39"/>
  <c r="V18" i="39" s="1"/>
  <c r="V43" i="40" s="1"/>
  <c r="V24" i="35"/>
  <c r="V19" i="40" s="1"/>
  <c r="T16" i="39"/>
  <c r="T18" i="39" s="1"/>
  <c r="T43" i="40" s="1"/>
  <c r="T24" i="35"/>
  <c r="T19" i="40" s="1"/>
  <c r="R16" i="39"/>
  <c r="R18" i="39" s="1"/>
  <c r="R43" i="40" s="1"/>
  <c r="R24" i="35"/>
  <c r="R19" i="40" s="1"/>
  <c r="P16" i="39"/>
  <c r="P18" i="39" s="1"/>
  <c r="P43" i="40" s="1"/>
  <c r="P24" i="35"/>
  <c r="P19" i="40" s="1"/>
  <c r="N16" i="39"/>
  <c r="N18" i="39" s="1"/>
  <c r="N43" i="40" s="1"/>
  <c r="N24" i="35"/>
  <c r="N19" i="40" s="1"/>
  <c r="L16" i="39"/>
  <c r="L18" i="39" s="1"/>
  <c r="L43" i="40" s="1"/>
  <c r="L24" i="35"/>
  <c r="L19" i="40" s="1"/>
  <c r="J16" i="39"/>
  <c r="J18" i="39" s="1"/>
  <c r="J43" i="40" s="1"/>
  <c r="J24" i="35"/>
  <c r="J19" i="40" s="1"/>
  <c r="H16" i="39"/>
  <c r="H18" i="39" s="1"/>
  <c r="H43" i="40" s="1"/>
  <c r="H24" i="35"/>
  <c r="H19" i="40" s="1"/>
  <c r="BD24" i="40"/>
  <c r="BD24" i="38"/>
  <c r="BD28" i="38" s="1"/>
  <c r="BD39" i="40" s="1"/>
  <c r="BB24" i="40"/>
  <c r="BB24" i="38"/>
  <c r="BB28" i="38" s="1"/>
  <c r="BB39" i="40" s="1"/>
  <c r="AZ24" i="40"/>
  <c r="AZ24" i="38"/>
  <c r="AZ28" i="38" s="1"/>
  <c r="AZ39" i="40" s="1"/>
  <c r="AX24" i="40"/>
  <c r="AX24" i="38"/>
  <c r="AX28" i="38" s="1"/>
  <c r="AX39" i="40" s="1"/>
  <c r="AV24" i="40"/>
  <c r="AV24" i="38"/>
  <c r="AV28" i="38" s="1"/>
  <c r="AV39" i="40" s="1"/>
  <c r="AT24" i="40"/>
  <c r="AT24" i="38"/>
  <c r="AT28" i="38" s="1"/>
  <c r="AT39" i="40" s="1"/>
  <c r="AR24" i="40"/>
  <c r="AR24" i="38"/>
  <c r="AR28" i="38" s="1"/>
  <c r="AR39" i="40" s="1"/>
  <c r="AP24" i="40"/>
  <c r="AP24" i="38"/>
  <c r="AP28" i="38" s="1"/>
  <c r="AP39" i="40" s="1"/>
  <c r="AN24" i="40"/>
  <c r="AN24" i="38"/>
  <c r="AN28" i="38" s="1"/>
  <c r="AN39" i="40" s="1"/>
  <c r="AL24" i="40"/>
  <c r="AL24" i="38"/>
  <c r="AL28" i="38" s="1"/>
  <c r="AL39" i="40" s="1"/>
  <c r="AJ24" i="40"/>
  <c r="AJ24" i="38"/>
  <c r="AJ28" i="38" s="1"/>
  <c r="AJ39" i="40" s="1"/>
  <c r="AH24" i="40"/>
  <c r="AH24" i="38"/>
  <c r="AH28" i="38" s="1"/>
  <c r="AH39" i="40" s="1"/>
  <c r="AF24" i="40"/>
  <c r="AF24" i="38"/>
  <c r="AF28" i="38" s="1"/>
  <c r="AF39" i="40" s="1"/>
  <c r="AD24" i="40"/>
  <c r="AD24" i="38"/>
  <c r="AD28" i="38" s="1"/>
  <c r="AD39" i="40" s="1"/>
  <c r="AB24" i="40"/>
  <c r="AB24" i="38"/>
  <c r="AB28" i="38" s="1"/>
  <c r="AB39" i="40" s="1"/>
  <c r="Z24" i="40"/>
  <c r="Z24" i="38"/>
  <c r="Z28" i="38" s="1"/>
  <c r="Z39" i="40" s="1"/>
  <c r="V24" i="40"/>
  <c r="V24" i="38"/>
  <c r="V28" i="38" s="1"/>
  <c r="V39" i="40" s="1"/>
  <c r="T24" i="40"/>
  <c r="T24" i="38"/>
  <c r="T28" i="38" s="1"/>
  <c r="T39" i="40" s="1"/>
  <c r="R24" i="40"/>
  <c r="R24" i="38"/>
  <c r="R28" i="38" s="1"/>
  <c r="R39" i="40" s="1"/>
  <c r="P24" i="40"/>
  <c r="P24" i="38"/>
  <c r="P28" i="38" s="1"/>
  <c r="P39" i="40" s="1"/>
  <c r="N24" i="40"/>
  <c r="N24" i="38"/>
  <c r="L24" i="40"/>
  <c r="L24" i="38"/>
  <c r="L28" i="38" s="1"/>
  <c r="L39" i="40" s="1"/>
  <c r="J24" i="40"/>
  <c r="J24" i="38"/>
  <c r="J28" i="38" s="1"/>
  <c r="J39" i="40" s="1"/>
  <c r="H24" i="40"/>
  <c r="H24" i="38"/>
  <c r="H28" i="38" s="1"/>
  <c r="H39" i="40" s="1"/>
  <c r="BG17" i="35"/>
  <c r="BF17" i="35"/>
  <c r="BG18" i="35"/>
  <c r="BF18" i="35"/>
  <c r="BG19" i="35"/>
  <c r="BF19" i="35"/>
  <c r="BG20" i="35"/>
  <c r="BF20" i="35"/>
  <c r="X22" i="35"/>
  <c r="F22" i="35"/>
  <c r="BG30" i="35"/>
  <c r="BF30" i="35"/>
  <c r="BG31" i="35"/>
  <c r="BF31" i="35"/>
  <c r="BG32" i="35"/>
  <c r="BF32" i="35"/>
  <c r="BG33" i="35"/>
  <c r="BF33" i="35"/>
  <c r="BG34" i="35"/>
  <c r="BF34" i="35"/>
  <c r="BG35" i="35"/>
  <c r="BF35" i="35"/>
  <c r="BG36" i="35"/>
  <c r="BF36" i="35"/>
  <c r="BG37" i="35"/>
  <c r="BF37" i="35"/>
  <c r="BG38" i="35"/>
  <c r="BF38" i="35"/>
  <c r="BG39" i="35"/>
  <c r="BF39" i="35"/>
  <c r="X41" i="35"/>
  <c r="F41" i="35"/>
  <c r="BG43" i="35"/>
  <c r="BF43" i="35"/>
  <c r="BG44" i="35"/>
  <c r="BF44" i="35"/>
  <c r="X46" i="35"/>
  <c r="F46" i="35"/>
  <c r="BH23" i="36"/>
  <c r="BH25" i="36" s="1"/>
  <c r="AK26" i="38"/>
  <c r="AK41" i="37"/>
  <c r="AK38" i="36"/>
  <c r="AK25" i="36"/>
  <c r="AK29" i="40" s="1"/>
  <c r="BH29" i="40" s="1"/>
  <c r="BG23" i="36"/>
  <c r="BG25" i="36" s="1"/>
  <c r="X26" i="38"/>
  <c r="X41" i="37"/>
  <c r="X38" i="36"/>
  <c r="X25" i="36"/>
  <c r="X29" i="40" s="1"/>
  <c r="BG29" i="40" s="1"/>
  <c r="BF36" i="36"/>
  <c r="BF15" i="40"/>
  <c r="BF23" i="36"/>
  <c r="BF25" i="36" s="1"/>
  <c r="E26" i="38"/>
  <c r="E41" i="37"/>
  <c r="BF41" i="37" s="1"/>
  <c r="E38" i="36"/>
  <c r="E25" i="36"/>
  <c r="E29" i="40" s="1"/>
  <c r="BF29" i="40" s="1"/>
  <c r="BH36" i="36"/>
  <c r="AK15" i="40"/>
  <c r="BH15" i="40" s="1"/>
  <c r="BG36" i="36"/>
  <c r="X15" i="40"/>
  <c r="BG15" i="40" s="1"/>
  <c r="AK26" i="37"/>
  <c r="AK33" i="40" s="1"/>
  <c r="BH33" i="40" s="1"/>
  <c r="BH24" i="37"/>
  <c r="BH26" i="37" s="1"/>
  <c r="E26" i="37"/>
  <c r="E33" i="40" s="1"/>
  <c r="BF33" i="40" s="1"/>
  <c r="BF24" i="37"/>
  <c r="BF26" i="37" s="1"/>
  <c r="BG24" i="37"/>
  <c r="BG26" i="37" s="1"/>
  <c r="X26" i="37"/>
  <c r="X33" i="40" s="1"/>
  <c r="BG33" i="40" s="1"/>
  <c r="BF39" i="37"/>
  <c r="E43" i="37"/>
  <c r="E35" i="40" s="1"/>
  <c r="BF35" i="40" s="1"/>
  <c r="BG39" i="37"/>
  <c r="BG46" i="38"/>
  <c r="BG48" i="38" s="1"/>
  <c r="X48" i="38"/>
  <c r="X41" i="40" s="1"/>
  <c r="BG41" i="40" s="1"/>
  <c r="BH46" i="38"/>
  <c r="BH48" i="38" s="1"/>
  <c r="AK48" i="38"/>
  <c r="AK41" i="40" s="1"/>
  <c r="BH41" i="40" s="1"/>
  <c r="BF46" i="38"/>
  <c r="BF48" i="38" s="1"/>
  <c r="E48" i="38"/>
  <c r="E41" i="40" s="1"/>
  <c r="BF41" i="40" s="1"/>
  <c r="D38" i="43" l="1"/>
  <c r="I24" i="35"/>
  <c r="I19" i="40" s="1"/>
  <c r="D46" i="43"/>
  <c r="D24" i="43"/>
  <c r="AS24" i="35"/>
  <c r="AS19" i="40" s="1"/>
  <c r="BH22" i="35"/>
  <c r="BH19" i="40"/>
  <c r="AC24" i="35"/>
  <c r="AC19" i="40" s="1"/>
  <c r="U24" i="35"/>
  <c r="U19" i="40" s="1"/>
  <c r="M24" i="35"/>
  <c r="M19" i="40" s="1"/>
  <c r="BF46" i="35"/>
  <c r="F48" i="35"/>
  <c r="F26" i="40" s="1"/>
  <c r="BF26" i="40" s="1"/>
  <c r="F24" i="40"/>
  <c r="BF24" i="40" s="1"/>
  <c r="BF41" i="35"/>
  <c r="F24" i="38"/>
  <c r="BF22" i="35"/>
  <c r="F16" i="39"/>
  <c r="F24" i="35"/>
  <c r="F19" i="40" s="1"/>
  <c r="BF19" i="40" s="1"/>
  <c r="BH15" i="35"/>
  <c r="AK17" i="40"/>
  <c r="BH17" i="40" s="1"/>
  <c r="BH46" i="35"/>
  <c r="AK48" i="35"/>
  <c r="AK26" i="40" s="1"/>
  <c r="BH26" i="40" s="1"/>
  <c r="BG15" i="35"/>
  <c r="X17" i="40"/>
  <c r="BG17" i="40" s="1"/>
  <c r="BH16" i="39"/>
  <c r="BH18" i="39" s="1"/>
  <c r="AK18" i="39"/>
  <c r="AK43" i="40" s="1"/>
  <c r="BH43" i="40" s="1"/>
  <c r="BF15" i="35"/>
  <c r="F17" i="40"/>
  <c r="BF17" i="40" s="1"/>
  <c r="BG46" i="35"/>
  <c r="X48" i="35"/>
  <c r="X26" i="40" s="1"/>
  <c r="BG26" i="40" s="1"/>
  <c r="BG41" i="35"/>
  <c r="X24" i="40"/>
  <c r="X24" i="38"/>
  <c r="BG24" i="38" s="1"/>
  <c r="X16" i="39"/>
  <c r="BG22" i="35"/>
  <c r="BG24" i="35" s="1"/>
  <c r="X24" i="35"/>
  <c r="X19" i="40" s="1"/>
  <c r="BG19" i="40" s="1"/>
  <c r="AK24" i="40"/>
  <c r="BH24" i="40" s="1"/>
  <c r="BH41" i="35"/>
  <c r="AK24" i="38"/>
  <c r="BH24" i="38" s="1"/>
  <c r="BG24" i="40"/>
  <c r="BF43" i="37"/>
  <c r="BF38" i="36"/>
  <c r="BF40" i="36" s="1"/>
  <c r="E40" i="36"/>
  <c r="E31" i="40" s="1"/>
  <c r="BF31" i="40" s="1"/>
  <c r="BF26" i="38"/>
  <c r="E28" i="38"/>
  <c r="E39" i="40" s="1"/>
  <c r="BG41" i="37"/>
  <c r="BG43" i="37" s="1"/>
  <c r="X43" i="37"/>
  <c r="X35" i="40" s="1"/>
  <c r="BG35" i="40" s="1"/>
  <c r="BH38" i="36"/>
  <c r="BH40" i="36" s="1"/>
  <c r="AK40" i="36"/>
  <c r="AK31" i="40" s="1"/>
  <c r="BH31" i="40" s="1"/>
  <c r="BH26" i="38"/>
  <c r="AK28" i="38"/>
  <c r="AK39" i="40" s="1"/>
  <c r="BH39" i="40" s="1"/>
  <c r="BG38" i="36"/>
  <c r="BG40" i="36" s="1"/>
  <c r="X40" i="36"/>
  <c r="X31" i="40" s="1"/>
  <c r="BG31" i="40" s="1"/>
  <c r="BG26" i="38"/>
  <c r="AK43" i="37"/>
  <c r="AK35" i="40" s="1"/>
  <c r="BH35" i="40" s="1"/>
  <c r="BH41" i="37"/>
  <c r="BH43" i="37" s="1"/>
  <c r="C55" i="13"/>
  <c r="BH24" i="35" l="1"/>
  <c r="BG28" i="38"/>
  <c r="X28" i="38"/>
  <c r="X39" i="40" s="1"/>
  <c r="BG39" i="40" s="1"/>
  <c r="BG48" i="35"/>
  <c r="BH48" i="35"/>
  <c r="D30" i="43"/>
  <c r="D28" i="43"/>
  <c r="BF24" i="38"/>
  <c r="F28" i="38"/>
  <c r="F39" i="40" s="1"/>
  <c r="BF48" i="35"/>
  <c r="BH28" i="38"/>
  <c r="F18" i="39"/>
  <c r="F43" i="40" s="1"/>
  <c r="BF43" i="40" s="1"/>
  <c r="BF16" i="39"/>
  <c r="BF18" i="39" s="1"/>
  <c r="BF28" i="38"/>
  <c r="X18" i="39"/>
  <c r="X43" i="40" s="1"/>
  <c r="BG43" i="40" s="1"/>
  <c r="BG16" i="39"/>
  <c r="BG18" i="39" s="1"/>
  <c r="BF24"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42" i="38" s="1"/>
  <c r="BF39" i="42"/>
  <c r="D43" i="38" s="1"/>
  <c r="BF40" i="42"/>
  <c r="D44" i="38" s="1"/>
  <c r="BF41" i="42"/>
  <c r="D34" i="38" s="1"/>
  <c r="BF42" i="42"/>
  <c r="D35" i="38" s="1"/>
  <c r="BF43" i="42"/>
  <c r="D36" i="38" s="1"/>
  <c r="BF44" i="42"/>
  <c r="D37" i="38" s="1"/>
  <c r="BF45" i="42"/>
  <c r="D38" i="38" s="1"/>
  <c r="BF46" i="42"/>
  <c r="D39" i="35" s="1"/>
  <c r="BF47" i="42"/>
  <c r="D33" i="35" s="1"/>
  <c r="BF48" i="42"/>
  <c r="BF49" i="42"/>
  <c r="D20" i="35" s="1"/>
  <c r="BF50" i="42"/>
  <c r="D18" i="36" s="1"/>
  <c r="BF51" i="42"/>
  <c r="D38" i="35" s="1"/>
  <c r="BF52" i="42"/>
  <c r="D21" i="36" s="1"/>
  <c r="BF53" i="42"/>
  <c r="D19"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34" i="37" s="1"/>
  <c r="BF21" i="42"/>
  <c r="D33" i="38" s="1"/>
  <c r="BF22" i="42"/>
  <c r="D12" i="36" s="1"/>
  <c r="BF23" i="42"/>
  <c r="D18" i="37" s="1"/>
  <c r="BF24" i="42"/>
  <c r="D32" i="35" s="1"/>
  <c r="BF25" i="42"/>
  <c r="D19" i="37" s="1"/>
  <c r="BF26" i="42"/>
  <c r="BF27" i="42"/>
  <c r="BF28" i="42"/>
  <c r="D20" i="37" s="1"/>
  <c r="BF29" i="42"/>
  <c r="D21" i="37" s="1"/>
  <c r="BF30" i="42"/>
  <c r="D22" i="37" s="1"/>
  <c r="BF31" i="42"/>
  <c r="D37" i="35" s="1"/>
  <c r="BF32" i="42"/>
  <c r="BF33" i="42"/>
  <c r="BF34" i="42"/>
  <c r="BI17" i="42"/>
  <c r="BH17" i="42"/>
  <c r="BG17" i="42"/>
  <c r="BF17" i="42"/>
  <c r="D14" i="37" s="1"/>
  <c r="BI8" i="42"/>
  <c r="BH8" i="42"/>
  <c r="BG8" i="42"/>
  <c r="BF8" i="42"/>
  <c r="D12" i="38" s="1"/>
  <c r="BF39" i="40" l="1"/>
  <c r="D42" i="43"/>
  <c r="D36" i="37"/>
  <c r="D35" i="35"/>
  <c r="D30" i="35"/>
  <c r="D19" i="35"/>
  <c r="D33" i="37"/>
  <c r="D18" i="35"/>
  <c r="D17" i="35"/>
  <c r="D37" i="37"/>
  <c r="D36" i="35"/>
  <c r="D32" i="37"/>
  <c r="D31" i="35"/>
  <c r="D20" i="36"/>
  <c r="D13" i="36"/>
  <c r="D34" i="35"/>
  <c r="D35" i="37"/>
  <c r="D17" i="37"/>
  <c r="D12" i="35"/>
  <c r="BI61" i="42"/>
  <c r="BH61" i="42"/>
  <c r="BG61" i="42"/>
  <c r="BF61" i="42"/>
  <c r="D44" i="35" s="1"/>
  <c r="BI58" i="42"/>
  <c r="BH58" i="42"/>
  <c r="BG58" i="42"/>
  <c r="BF58" i="42"/>
  <c r="BI37" i="42"/>
  <c r="BH37" i="42"/>
  <c r="BG37" i="42"/>
  <c r="BF37" i="42"/>
  <c r="D17" i="36" s="1"/>
  <c r="BI19" i="42"/>
  <c r="BH19" i="42"/>
  <c r="BG19" i="42"/>
  <c r="BF19" i="42"/>
  <c r="D16" i="37" s="1"/>
  <c r="BI18" i="42"/>
  <c r="BH18" i="42"/>
  <c r="BG18" i="42"/>
  <c r="BF18" i="42"/>
  <c r="D15" i="37" s="1"/>
  <c r="BI14" i="42"/>
  <c r="BH14" i="42"/>
  <c r="BG14" i="42"/>
  <c r="BF14" i="42"/>
  <c r="D12" i="39" s="1"/>
  <c r="BI13" i="42"/>
  <c r="BH13" i="42"/>
  <c r="BG13" i="42"/>
  <c r="BF13" i="42"/>
  <c r="BI12" i="42"/>
  <c r="BH12" i="42"/>
  <c r="BG12" i="42"/>
  <c r="BF12" i="42"/>
  <c r="D34" i="36" s="1"/>
  <c r="BI11" i="42"/>
  <c r="BH11" i="42"/>
  <c r="BG11" i="42"/>
  <c r="BF11" i="42"/>
  <c r="D33" i="36" s="1"/>
  <c r="BI10" i="42"/>
  <c r="BH10" i="42"/>
  <c r="BG10" i="42"/>
  <c r="BF10" i="42"/>
  <c r="D32" i="36" s="1"/>
  <c r="BI9" i="42"/>
  <c r="BH9" i="42"/>
  <c r="BG9" i="42"/>
  <c r="BF9" i="42"/>
  <c r="D31"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12" i="37" l="1"/>
  <c r="D43" i="35"/>
  <c r="D13" i="38"/>
  <c r="D13" i="35"/>
  <c r="BF2" i="42"/>
  <c r="D17"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6" i="38"/>
  <c r="D15" i="38"/>
  <c r="D19" i="38" s="1"/>
  <c r="D37" i="40" s="1"/>
  <c r="D39" i="37"/>
  <c r="D23" i="36"/>
  <c r="D15" i="36"/>
  <c r="D46" i="35"/>
  <c r="D41" i="35"/>
  <c r="D24" i="38" s="1"/>
  <c r="D22" i="35"/>
  <c r="D16" i="39" s="1"/>
  <c r="D15" i="35"/>
  <c r="D17" i="40" s="1"/>
  <c r="D26" i="38" l="1"/>
  <c r="D41" i="37"/>
  <c r="D43" i="37" s="1"/>
  <c r="D35" i="40" s="1"/>
  <c r="D48" i="35"/>
  <c r="D26" i="40" s="1"/>
  <c r="D18" i="39"/>
  <c r="D43" i="40" s="1"/>
  <c r="D24" i="35"/>
  <c r="D19" i="40" s="1"/>
  <c r="D24" i="40"/>
  <c r="D28" i="38"/>
  <c r="D39" i="40" s="1"/>
  <c r="D36" i="36"/>
  <c r="D15" i="40" s="1"/>
  <c r="D24" i="37"/>
  <c r="D26" i="37" s="1"/>
  <c r="D33" i="40" s="1"/>
  <c r="D40" i="38"/>
  <c r="D48" i="38" s="1"/>
  <c r="D41" i="40" s="1"/>
  <c r="D38" i="36"/>
  <c r="D25" i="36"/>
  <c r="D29" i="40" s="1"/>
  <c r="D40"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8" i="26"/>
  <c r="C24"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6" i="26"/>
  <c r="F214" i="31"/>
  <c r="BG221" i="24"/>
  <c r="BI203" i="24"/>
  <c r="BI164" i="24"/>
  <c r="BI132" i="24"/>
  <c r="BI122" i="24"/>
  <c r="AA4" i="24"/>
  <c r="AA67" i="24"/>
  <c r="C12"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2" i="81" s="1"/>
  <c r="BD6" i="22"/>
  <c r="C8" i="30" s="1"/>
  <c r="B14" i="81" s="1"/>
  <c r="BD8" i="22"/>
  <c r="C10" i="30" s="1"/>
  <c r="BD9" i="22"/>
  <c r="C11" i="30" s="1"/>
  <c r="B3" i="81" s="1"/>
  <c r="BD10" i="22"/>
  <c r="C12" i="30" s="1"/>
  <c r="B15" i="81" s="1"/>
  <c r="BD12" i="22"/>
  <c r="C14" i="30" s="1"/>
  <c r="BD13" i="22"/>
  <c r="C15" i="30" s="1"/>
  <c r="B4" i="81" s="1"/>
  <c r="BD14" i="22"/>
  <c r="C16" i="30" s="1"/>
  <c r="B16" i="81" s="1"/>
  <c r="BD16" i="22"/>
  <c r="C18" i="30" s="1"/>
  <c r="BD17" i="22"/>
  <c r="C19" i="30" s="1"/>
  <c r="B5" i="81" s="1"/>
  <c r="BD18" i="22"/>
  <c r="C20" i="30" s="1"/>
  <c r="B17" i="81" s="1"/>
  <c r="BD20" i="22"/>
  <c r="C22" i="30" s="1"/>
  <c r="BD21" i="22"/>
  <c r="C23" i="30" s="1"/>
  <c r="B6" i="81" s="1"/>
  <c r="BD22" i="22"/>
  <c r="C24" i="30" s="1"/>
  <c r="B18" i="81" s="1"/>
  <c r="BD24" i="22"/>
  <c r="C26" i="30" s="1"/>
  <c r="BD25" i="22"/>
  <c r="C27" i="30" s="1"/>
  <c r="B7" i="81" s="1"/>
  <c r="BD26" i="22"/>
  <c r="C28" i="30" s="1"/>
  <c r="B19" i="81" s="1"/>
  <c r="BD28" i="22"/>
  <c r="C30" i="30" s="1"/>
  <c r="BD29" i="22"/>
  <c r="C31" i="30" s="1"/>
  <c r="B8" i="81" s="1"/>
  <c r="BD30" i="22"/>
  <c r="C32" i="30" s="1"/>
  <c r="B20" i="81" s="1"/>
  <c r="BD32" i="22"/>
  <c r="C34" i="30" s="1"/>
  <c r="BD33" i="22"/>
  <c r="C35" i="30" s="1"/>
  <c r="B9" i="81" s="1"/>
  <c r="BD34" i="22"/>
  <c r="C36" i="30" s="1"/>
  <c r="B21" i="81" s="1"/>
  <c r="BD36" i="22"/>
  <c r="C38" i="30" s="1"/>
  <c r="BD37" i="22"/>
  <c r="C39" i="30" s="1"/>
  <c r="B10" i="81" s="1"/>
  <c r="BD38" i="22"/>
  <c r="C40" i="30" s="1"/>
  <c r="B22" i="81" s="1"/>
  <c r="BD40" i="22"/>
  <c r="C42" i="30" s="1"/>
  <c r="BD41" i="22"/>
  <c r="C43" i="30" s="1"/>
  <c r="B11" i="81" s="1"/>
  <c r="BD42" i="22"/>
  <c r="C44" i="30" s="1"/>
  <c r="B23"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D11" i="82" l="1"/>
  <c r="M21" i="32"/>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E21" i="32" s="1"/>
  <c r="BD7" i="32"/>
  <c r="BE7" i="32"/>
  <c r="AX23" i="32"/>
  <c r="BF9" i="32"/>
  <c r="AA23" i="32"/>
  <c r="BG7" i="32"/>
  <c r="BG9" i="32"/>
  <c r="H22" i="65"/>
  <c r="BF20" i="32"/>
  <c r="BF21" i="32" s="1"/>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D21" i="32" s="1"/>
  <c r="BG20" i="32"/>
  <c r="BG21" i="32" s="1"/>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G24" i="32" s="1"/>
  <c r="BF23" i="32"/>
  <c r="BF24" i="32" s="1"/>
  <c r="C21" i="78"/>
  <c r="BE24" i="77"/>
  <c r="BD24" i="77"/>
  <c r="BE23" i="32"/>
  <c r="BE24" i="32" s="1"/>
  <c r="BD23" i="32"/>
  <c r="BD24" i="32" s="1"/>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7" i="26"/>
  <c r="D62" i="27"/>
  <c r="C35" i="26"/>
  <c r="D38" i="27"/>
  <c r="C23" i="26"/>
  <c r="C11"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2" i="26"/>
  <c r="C19" i="26"/>
  <c r="D39" i="27"/>
  <c r="C33" i="26"/>
  <c r="C34" i="26"/>
  <c r="D59" i="27"/>
  <c r="D81" i="27"/>
  <c r="C45" i="26"/>
  <c r="D83" i="27"/>
  <c r="D36" i="27"/>
  <c r="D34" i="27"/>
  <c r="D37" i="27"/>
  <c r="C21" i="26"/>
  <c r="C31" i="26"/>
  <c r="D63" i="27"/>
  <c r="D61" i="27"/>
  <c r="D60" i="27"/>
  <c r="D58" i="27"/>
  <c r="D82" i="27"/>
  <c r="D80" i="27"/>
  <c r="C43" i="26"/>
  <c r="D85" i="27"/>
  <c r="C46" i="26"/>
  <c r="C32" i="26"/>
  <c r="BI220" i="24"/>
  <c r="BI223" i="24" s="1"/>
  <c r="C44" i="26"/>
  <c r="BJ220" i="24"/>
  <c r="BJ223" i="24" s="1"/>
  <c r="C20"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10" i="38"/>
  <c r="E17" i="38" s="1"/>
  <c r="E10" i="37"/>
  <c r="E10" i="36"/>
  <c r="E10" i="35"/>
  <c r="G11" i="40"/>
  <c r="G10" i="39"/>
  <c r="G10" i="38"/>
  <c r="G17" i="38" s="1"/>
  <c r="G19" i="38" s="1"/>
  <c r="G37" i="40" s="1"/>
  <c r="G10" i="37"/>
  <c r="G10" i="36"/>
  <c r="G10" i="35"/>
  <c r="I11" i="40"/>
  <c r="I10" i="39"/>
  <c r="I10" i="38"/>
  <c r="I17" i="38" s="1"/>
  <c r="I19" i="38" s="1"/>
  <c r="I37" i="40" s="1"/>
  <c r="I10" i="37"/>
  <c r="I10" i="36"/>
  <c r="I10" i="35"/>
  <c r="K11" i="40"/>
  <c r="K10" i="39"/>
  <c r="K10" i="38"/>
  <c r="K17" i="38" s="1"/>
  <c r="K19" i="38" s="1"/>
  <c r="K37" i="40" s="1"/>
  <c r="K10" i="37"/>
  <c r="K10" i="36"/>
  <c r="K10" i="35"/>
  <c r="M11" i="40"/>
  <c r="M10" i="39"/>
  <c r="M10" i="38"/>
  <c r="M17" i="38" s="1"/>
  <c r="M19" i="38" s="1"/>
  <c r="M37" i="40" s="1"/>
  <c r="M10" i="37"/>
  <c r="M10" i="36"/>
  <c r="M10" i="35"/>
  <c r="O11" i="40"/>
  <c r="O10" i="39"/>
  <c r="O10" i="38"/>
  <c r="O17" i="38" s="1"/>
  <c r="O19" i="38" s="1"/>
  <c r="O37" i="40" s="1"/>
  <c r="O10" i="37"/>
  <c r="O10" i="36"/>
  <c r="O10" i="35"/>
  <c r="Q11" i="40"/>
  <c r="Q10" i="39"/>
  <c r="Q10" i="38"/>
  <c r="Q17" i="38" s="1"/>
  <c r="Q19" i="38" s="1"/>
  <c r="Q37" i="40" s="1"/>
  <c r="Q10" i="37"/>
  <c r="Q10" i="36"/>
  <c r="Q10" i="35"/>
  <c r="S11" i="40"/>
  <c r="S10" i="39"/>
  <c r="S10" i="38"/>
  <c r="S17" i="38" s="1"/>
  <c r="S19" i="38" s="1"/>
  <c r="S37" i="40" s="1"/>
  <c r="S10" i="37"/>
  <c r="S10" i="36"/>
  <c r="S10" i="35"/>
  <c r="U11" i="40"/>
  <c r="U10" i="39"/>
  <c r="U10" i="38"/>
  <c r="U17" i="38" s="1"/>
  <c r="U19" i="38" s="1"/>
  <c r="U37" i="40" s="1"/>
  <c r="U10" i="37"/>
  <c r="U10" i="36"/>
  <c r="U10" i="35"/>
  <c r="W11" i="40"/>
  <c r="W10" i="39"/>
  <c r="W10" i="38"/>
  <c r="W17" i="38" s="1"/>
  <c r="W19" i="38" s="1"/>
  <c r="W37" i="40" s="1"/>
  <c r="W10" i="37"/>
  <c r="W10" i="36"/>
  <c r="W10" i="35"/>
  <c r="Y11" i="40"/>
  <c r="Y10" i="39"/>
  <c r="Y10" i="38"/>
  <c r="Y17" i="38" s="1"/>
  <c r="Y19" i="38" s="1"/>
  <c r="Y37" i="40" s="1"/>
  <c r="Y10" i="37"/>
  <c r="Y10" i="36"/>
  <c r="Y10" i="35"/>
  <c r="AA11" i="40"/>
  <c r="AA10" i="39"/>
  <c r="AA10" i="38"/>
  <c r="AA17" i="38" s="1"/>
  <c r="AA19" i="38" s="1"/>
  <c r="AA37" i="40" s="1"/>
  <c r="AA10" i="37"/>
  <c r="AA10" i="36"/>
  <c r="AA10" i="35"/>
  <c r="AC11" i="40"/>
  <c r="AC10" i="39"/>
  <c r="AC10" i="38"/>
  <c r="AC17" i="38" s="1"/>
  <c r="AC19" i="38" s="1"/>
  <c r="AC37" i="40" s="1"/>
  <c r="AC10" i="37"/>
  <c r="AC10" i="36"/>
  <c r="AC10" i="35"/>
  <c r="AE11" i="40"/>
  <c r="AE10" i="39"/>
  <c r="AE10" i="38"/>
  <c r="AE17" i="38" s="1"/>
  <c r="AE19" i="38" s="1"/>
  <c r="AE37" i="40" s="1"/>
  <c r="AE10" i="37"/>
  <c r="AE10" i="36"/>
  <c r="AE10" i="35"/>
  <c r="AG11" i="40"/>
  <c r="AG10" i="39"/>
  <c r="AG10" i="38"/>
  <c r="AG17" i="38" s="1"/>
  <c r="AG19" i="38" s="1"/>
  <c r="AG37" i="40" s="1"/>
  <c r="AG10" i="37"/>
  <c r="AG10" i="36"/>
  <c r="AG10" i="35"/>
  <c r="AI11" i="40"/>
  <c r="AI10" i="39"/>
  <c r="AI10" i="38"/>
  <c r="AI17" i="38" s="1"/>
  <c r="AI19" i="38" s="1"/>
  <c r="AI37" i="40" s="1"/>
  <c r="AI10" i="37"/>
  <c r="AI10" i="36"/>
  <c r="AI10" i="35"/>
  <c r="AK11" i="40"/>
  <c r="AK10" i="39"/>
  <c r="AK10" i="38"/>
  <c r="AK17" i="38" s="1"/>
  <c r="AK10" i="37"/>
  <c r="AK10" i="36"/>
  <c r="AK10" i="35"/>
  <c r="AM11" i="40"/>
  <c r="AM10" i="39"/>
  <c r="AM10" i="38"/>
  <c r="AM17" i="38" s="1"/>
  <c r="AM19" i="38" s="1"/>
  <c r="AM37" i="40" s="1"/>
  <c r="AM10" i="37"/>
  <c r="AM10" i="36"/>
  <c r="AM10" i="35"/>
  <c r="AO11" i="40"/>
  <c r="AO10" i="39"/>
  <c r="AO10" i="38"/>
  <c r="AO17" i="38" s="1"/>
  <c r="AO19" i="38" s="1"/>
  <c r="AO37" i="40" s="1"/>
  <c r="AO10" i="37"/>
  <c r="AO10" i="36"/>
  <c r="AO10" i="35"/>
  <c r="AQ11" i="40"/>
  <c r="AQ10" i="39"/>
  <c r="AQ10" i="38"/>
  <c r="AQ17" i="38" s="1"/>
  <c r="AQ19" i="38" s="1"/>
  <c r="AQ37" i="40" s="1"/>
  <c r="AQ10" i="37"/>
  <c r="AQ10" i="36"/>
  <c r="AQ10" i="35"/>
  <c r="AS11" i="40"/>
  <c r="AS10" i="39"/>
  <c r="AS10" i="38"/>
  <c r="AS17" i="38" s="1"/>
  <c r="AS19" i="38" s="1"/>
  <c r="AS37" i="40" s="1"/>
  <c r="AS10" i="37"/>
  <c r="AS10" i="36"/>
  <c r="AS10" i="35"/>
  <c r="AU11" i="40"/>
  <c r="AU10" i="39"/>
  <c r="AU10" i="38"/>
  <c r="AU17" i="38" s="1"/>
  <c r="AU19" i="38" s="1"/>
  <c r="AU37" i="40" s="1"/>
  <c r="AU10" i="37"/>
  <c r="AU10" i="36"/>
  <c r="AU10" i="35"/>
  <c r="AW11" i="40"/>
  <c r="AW10" i="39"/>
  <c r="AW10" i="38"/>
  <c r="AW17" i="38" s="1"/>
  <c r="AW19" i="38" s="1"/>
  <c r="AW37" i="40" s="1"/>
  <c r="AW10" i="37"/>
  <c r="AW10" i="36"/>
  <c r="AW10" i="35"/>
  <c r="AY11" i="40"/>
  <c r="AY10" i="39"/>
  <c r="AY10" i="38"/>
  <c r="AY17" i="38" s="1"/>
  <c r="AY19" i="38" s="1"/>
  <c r="AY37" i="40" s="1"/>
  <c r="AY10" i="37"/>
  <c r="AY10" i="36"/>
  <c r="AY10" i="35"/>
  <c r="BA11" i="40"/>
  <c r="BA10" i="39"/>
  <c r="BA10" i="38"/>
  <c r="BA17" i="38" s="1"/>
  <c r="BA19" i="38" s="1"/>
  <c r="BA37" i="40" s="1"/>
  <c r="BA10" i="37"/>
  <c r="BA10" i="36"/>
  <c r="BA10" i="35"/>
  <c r="BC11" i="40"/>
  <c r="BC10" i="39"/>
  <c r="BC10" i="38"/>
  <c r="BC17" i="38" s="1"/>
  <c r="BC19" i="38" s="1"/>
  <c r="BC37" i="40" s="1"/>
  <c r="BC10" i="37"/>
  <c r="BC10" i="36"/>
  <c r="BC10" i="35"/>
  <c r="BE11" i="40"/>
  <c r="BE10" i="39"/>
  <c r="BE10" i="38"/>
  <c r="BE17" i="38" s="1"/>
  <c r="BE19" i="38" s="1"/>
  <c r="BE37" i="40" s="1"/>
  <c r="BE10" i="37"/>
  <c r="BE10" i="36"/>
  <c r="BE10" i="35"/>
  <c r="F11" i="40"/>
  <c r="F10" i="39"/>
  <c r="F10" i="38"/>
  <c r="F17" i="38" s="1"/>
  <c r="F19" i="38" s="1"/>
  <c r="F37" i="40" s="1"/>
  <c r="F10" i="37"/>
  <c r="F10" i="36"/>
  <c r="F10" i="35"/>
  <c r="H11" i="40"/>
  <c r="H10" i="39"/>
  <c r="H10" i="38"/>
  <c r="H17" i="38" s="1"/>
  <c r="H19" i="38" s="1"/>
  <c r="H37" i="40" s="1"/>
  <c r="H10" i="37"/>
  <c r="H10" i="36"/>
  <c r="H10" i="35"/>
  <c r="J10" i="37"/>
  <c r="J10" i="36"/>
  <c r="J11" i="40"/>
  <c r="J10" i="39"/>
  <c r="J10" i="38"/>
  <c r="J17" i="38" s="1"/>
  <c r="J19" i="38" s="1"/>
  <c r="J37" i="40" s="1"/>
  <c r="J10" i="35"/>
  <c r="L11" i="40"/>
  <c r="L10" i="39"/>
  <c r="L10" i="38"/>
  <c r="L17" i="38" s="1"/>
  <c r="L19" i="38" s="1"/>
  <c r="L37" i="40" s="1"/>
  <c r="L10" i="37"/>
  <c r="L10" i="36"/>
  <c r="L10" i="35"/>
  <c r="N11" i="40"/>
  <c r="N10" i="39"/>
  <c r="N10" i="38"/>
  <c r="N17" i="38" s="1"/>
  <c r="N19" i="38" s="1"/>
  <c r="N37" i="40" s="1"/>
  <c r="N10" i="37"/>
  <c r="N10" i="36"/>
  <c r="N10" i="35"/>
  <c r="P11" i="40"/>
  <c r="P10" i="39"/>
  <c r="P10" i="38"/>
  <c r="P17" i="38" s="1"/>
  <c r="P19" i="38" s="1"/>
  <c r="P37" i="40" s="1"/>
  <c r="P10" i="37"/>
  <c r="P10" i="36"/>
  <c r="P10" i="35"/>
  <c r="R10" i="37"/>
  <c r="R10" i="36"/>
  <c r="R11" i="40"/>
  <c r="R10" i="39"/>
  <c r="R10" i="38"/>
  <c r="R17" i="38" s="1"/>
  <c r="R19" i="38" s="1"/>
  <c r="R37" i="40" s="1"/>
  <c r="R10" i="35"/>
  <c r="T11" i="40"/>
  <c r="T10" i="39"/>
  <c r="T10" i="38"/>
  <c r="T17" i="38" s="1"/>
  <c r="T19" i="38" s="1"/>
  <c r="T37" i="40" s="1"/>
  <c r="T10" i="37"/>
  <c r="T10" i="36"/>
  <c r="T10" i="35"/>
  <c r="V11" i="40"/>
  <c r="V10" i="39"/>
  <c r="V10" i="38"/>
  <c r="V17" i="38" s="1"/>
  <c r="V19" i="38" s="1"/>
  <c r="V37" i="40" s="1"/>
  <c r="V10" i="37"/>
  <c r="V10" i="36"/>
  <c r="V10" i="35"/>
  <c r="X11" i="40"/>
  <c r="X10" i="39"/>
  <c r="X10" i="38"/>
  <c r="X17" i="38" s="1"/>
  <c r="X10" i="37"/>
  <c r="X10" i="36"/>
  <c r="X10" i="35"/>
  <c r="Z10" i="37"/>
  <c r="Z10" i="36"/>
  <c r="Z11" i="40"/>
  <c r="Z10" i="39"/>
  <c r="Z10" i="38"/>
  <c r="Z17" i="38" s="1"/>
  <c r="Z19" i="38" s="1"/>
  <c r="Z37" i="40" s="1"/>
  <c r="Z10" i="35"/>
  <c r="AB11" i="40"/>
  <c r="AB10" i="39"/>
  <c r="AB10" i="38"/>
  <c r="AB17" i="38" s="1"/>
  <c r="AB19" i="38" s="1"/>
  <c r="AB37" i="40" s="1"/>
  <c r="AB10" i="37"/>
  <c r="AB10" i="36"/>
  <c r="AB10" i="35"/>
  <c r="AD11" i="40"/>
  <c r="AD10" i="39"/>
  <c r="AD10" i="38"/>
  <c r="AD17" i="38" s="1"/>
  <c r="AD19" i="38" s="1"/>
  <c r="AD37" i="40" s="1"/>
  <c r="AD10" i="37"/>
  <c r="AD10" i="36"/>
  <c r="AD10" i="35"/>
  <c r="AF11" i="40"/>
  <c r="AF10" i="39"/>
  <c r="AF10" i="38"/>
  <c r="AF17" i="38" s="1"/>
  <c r="AF19" i="38" s="1"/>
  <c r="AF37" i="40" s="1"/>
  <c r="AF10" i="37"/>
  <c r="AF10" i="36"/>
  <c r="AF10" i="35"/>
  <c r="AH10" i="37"/>
  <c r="AH10" i="36"/>
  <c r="AH11" i="40"/>
  <c r="AH10" i="39"/>
  <c r="AH10" i="38"/>
  <c r="AH17" i="38" s="1"/>
  <c r="AH19" i="38" s="1"/>
  <c r="AH37" i="40" s="1"/>
  <c r="AH10" i="35"/>
  <c r="AJ11" i="40"/>
  <c r="AJ10" i="39"/>
  <c r="AJ10" i="38"/>
  <c r="AJ17" i="38" s="1"/>
  <c r="AJ19" i="38" s="1"/>
  <c r="AJ37" i="40" s="1"/>
  <c r="AJ10" i="37"/>
  <c r="AJ10" i="36"/>
  <c r="AJ10" i="35"/>
  <c r="AL11" i="40"/>
  <c r="AL10" i="39"/>
  <c r="AL10" i="38"/>
  <c r="AL17" i="38" s="1"/>
  <c r="AL19" i="38" s="1"/>
  <c r="AL37" i="40" s="1"/>
  <c r="AL10" i="37"/>
  <c r="AL10" i="36"/>
  <c r="AL10" i="35"/>
  <c r="AN11" i="40"/>
  <c r="AN10" i="39"/>
  <c r="AN10" i="38"/>
  <c r="AN17" i="38" s="1"/>
  <c r="AN19" i="38" s="1"/>
  <c r="AN37" i="40" s="1"/>
  <c r="AN10" i="37"/>
  <c r="AN10" i="36"/>
  <c r="AN10" i="35"/>
  <c r="AP10" i="37"/>
  <c r="AP11" i="40"/>
  <c r="AP10" i="39"/>
  <c r="AP10" i="38"/>
  <c r="AP17" i="38" s="1"/>
  <c r="AP19" i="38" s="1"/>
  <c r="AP37" i="40" s="1"/>
  <c r="AP10" i="36"/>
  <c r="AP10" i="35"/>
  <c r="AR11" i="40"/>
  <c r="AR10" i="39"/>
  <c r="AR10" i="38"/>
  <c r="AR17" i="38" s="1"/>
  <c r="AR19" i="38" s="1"/>
  <c r="AR37" i="40" s="1"/>
  <c r="AR10" i="37"/>
  <c r="AR10" i="36"/>
  <c r="AR10" i="35"/>
  <c r="AT11" i="40"/>
  <c r="AT10" i="39"/>
  <c r="AT10" i="38"/>
  <c r="AT17" i="38" s="1"/>
  <c r="AT19" i="38" s="1"/>
  <c r="AT37" i="40" s="1"/>
  <c r="AT10" i="37"/>
  <c r="AT10" i="36"/>
  <c r="AT10" i="35"/>
  <c r="AV11" i="40"/>
  <c r="AV10" i="39"/>
  <c r="AV10" i="38"/>
  <c r="AV17" i="38" s="1"/>
  <c r="AV19" i="38" s="1"/>
  <c r="AV37" i="40" s="1"/>
  <c r="AV10" i="37"/>
  <c r="AV10" i="36"/>
  <c r="AV10" i="35"/>
  <c r="AX10" i="37"/>
  <c r="AX11" i="40"/>
  <c r="AX10" i="39"/>
  <c r="AX10" i="38"/>
  <c r="AX17" i="38" s="1"/>
  <c r="AX19" i="38" s="1"/>
  <c r="AX37" i="40" s="1"/>
  <c r="AX10" i="36"/>
  <c r="AX10" i="35"/>
  <c r="AZ11" i="40"/>
  <c r="AZ10" i="39"/>
  <c r="AZ10" i="38"/>
  <c r="AZ17" i="38" s="1"/>
  <c r="AZ19" i="38" s="1"/>
  <c r="AZ37" i="40" s="1"/>
  <c r="AZ10" i="37"/>
  <c r="AZ10" i="36"/>
  <c r="AZ10" i="35"/>
  <c r="BB11" i="40"/>
  <c r="BB10" i="39"/>
  <c r="BB10" i="38"/>
  <c r="BB17" i="38" s="1"/>
  <c r="BB19" i="38" s="1"/>
  <c r="BB37" i="40" s="1"/>
  <c r="BB10" i="37"/>
  <c r="BB10" i="36"/>
  <c r="BB10" i="35"/>
  <c r="BD11" i="40"/>
  <c r="BD10" i="39"/>
  <c r="BD10" i="38"/>
  <c r="BD17" i="38" s="1"/>
  <c r="BD19" i="38" s="1"/>
  <c r="BD37" i="40" s="1"/>
  <c r="BD10" i="37"/>
  <c r="BD10" i="36"/>
  <c r="BD10"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58" i="25"/>
  <c r="E10" i="46"/>
  <c r="C64" i="25"/>
  <c r="C59" i="25"/>
  <c r="D79" i="27"/>
  <c r="D33" i="27"/>
  <c r="E11" i="46"/>
  <c r="C65" i="25"/>
  <c r="C7" i="26"/>
  <c r="D31" i="27"/>
  <c r="D78" i="27"/>
  <c r="D32" i="27"/>
  <c r="D55" i="27"/>
  <c r="C79" i="25"/>
  <c r="C33" i="25"/>
  <c r="C12" i="45"/>
  <c r="D56" i="27"/>
  <c r="C85" i="25"/>
  <c r="C39" i="25"/>
  <c r="C18" i="45"/>
  <c r="C80" i="25"/>
  <c r="C34" i="25"/>
  <c r="C13" i="45"/>
  <c r="C14" i="60"/>
  <c r="D57"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8"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10" i="38"/>
  <c r="BG10" i="37"/>
  <c r="BG10" i="36"/>
  <c r="BG10" i="35"/>
  <c r="BF10" i="37"/>
  <c r="BF11" i="40"/>
  <c r="BF10" i="39"/>
  <c r="BF10" i="38"/>
  <c r="BF10" i="36"/>
  <c r="BF10" i="35"/>
  <c r="BH11" i="40"/>
  <c r="BH10" i="39"/>
  <c r="BH10" i="38"/>
  <c r="BH10" i="37"/>
  <c r="BH10" i="36"/>
  <c r="BH10" i="35"/>
  <c r="X19" i="38"/>
  <c r="X37" i="40" s="1"/>
  <c r="BG37" i="40" s="1"/>
  <c r="BG17" i="38"/>
  <c r="BG19" i="38" s="1"/>
  <c r="BH17" i="38"/>
  <c r="BH19" i="38" s="1"/>
  <c r="AK19" i="38"/>
  <c r="AK37" i="40" s="1"/>
  <c r="BH37" i="40" s="1"/>
  <c r="E19" i="38"/>
  <c r="E37" i="40" s="1"/>
  <c r="BF37" i="40" s="1"/>
  <c r="BF17" i="38"/>
  <c r="BF19"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9"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10"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30" i="26"/>
  <c r="D54" i="27"/>
  <c r="C55" i="25"/>
  <c r="C66" i="25"/>
  <c r="D76" i="27"/>
  <c r="C42" i="26"/>
  <c r="BF76" i="23"/>
  <c r="B16" i="80" s="1"/>
  <c r="BF153" i="23"/>
  <c r="BF157" i="23"/>
  <c r="D30" i="27"/>
  <c r="D41" i="27" s="1"/>
  <c r="C18" i="26"/>
  <c r="D8"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5" i="25"/>
  <c r="C60" i="25"/>
  <c r="BB159" i="23"/>
  <c r="BB160" i="23" s="1"/>
  <c r="AL159" i="23"/>
  <c r="AL160" i="23" s="1"/>
  <c r="V159" i="23"/>
  <c r="V160" i="23" s="1"/>
  <c r="BC160" i="29"/>
  <c r="D65" i="27"/>
  <c r="D69" i="27" s="1"/>
  <c r="C14" i="45"/>
  <c r="C8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6" i="26"/>
  <c r="D11"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BI140" i="29"/>
  <c r="BI117" i="29"/>
  <c r="BI31" i="29"/>
  <c r="BI15" i="29"/>
  <c r="AK4" i="29"/>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5" i="27"/>
  <c r="BF179" i="23"/>
  <c r="BF75" i="23"/>
  <c r="M159" i="23"/>
  <c r="M160" i="23" s="1"/>
  <c r="BF4" i="23"/>
  <c r="C8" i="25"/>
  <c r="BH159" i="23"/>
  <c r="BH160" i="23" s="1"/>
  <c r="E75" i="23"/>
  <c r="E79" i="48" s="1"/>
  <c r="E79" i="49" l="1"/>
  <c r="C37" i="25"/>
  <c r="C43" i="25" s="1"/>
  <c r="C83" i="25"/>
  <c r="C89" i="25" s="1"/>
  <c r="C20" i="25"/>
  <c r="C20" i="59"/>
  <c r="C14" i="59"/>
  <c r="C16" i="73"/>
  <c r="C22" i="73" s="1"/>
  <c r="C14" i="25"/>
  <c r="C10" i="45"/>
  <c r="C16" i="45" s="1"/>
  <c r="C22" i="45" s="1"/>
  <c r="C10" i="60"/>
  <c r="C16" i="60" s="1"/>
  <c r="C22" i="60" s="1"/>
  <c r="C10" i="59"/>
  <c r="D19" i="61"/>
  <c r="D23" i="61" s="1"/>
  <c r="BF159" i="23"/>
  <c r="BF160" i="23" s="1"/>
  <c r="D19" i="27"/>
  <c r="D23"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E8" i="49" s="1"/>
  <c r="BG8" i="29"/>
  <c r="BF5" i="29" l="1"/>
  <c r="BF4" i="29" s="1"/>
  <c r="BF160" i="29" s="1"/>
  <c r="BG5" i="29"/>
  <c r="BG4" i="29" s="1"/>
  <c r="BG160" i="29" s="1"/>
</calcChain>
</file>

<file path=xl/sharedStrings.xml><?xml version="1.0" encoding="utf-8"?>
<sst xmlns="http://schemas.openxmlformats.org/spreadsheetml/2006/main" count="5599" uniqueCount="823">
  <si>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</si>
  <si>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</si>
  <si>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</si>
  <si>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</si>
  <si>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</si>
  <si>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</si>
  <si>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</si>
  <si>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</si>
  <si>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</si>
  <si>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</si>
  <si>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</si>
  <si>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</si>
  <si>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</si>
  <si>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</si>
  <si>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</si>
  <si>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</si>
  <si>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</si>
  <si>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</si>
  <si>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</si>
  <si>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</si>
  <si>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</si>
  <si>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</si>
  <si>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</si>
  <si>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</si>
  <si>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</si>
  <si>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</si>
  <si>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</si>
  <si>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</si>
  <si>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</si>
  <si>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</si>
  <si>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</si>
  <si>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</si>
  <si>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</si>
  <si>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</si>
  <si>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</si>
  <si>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</si>
  <si>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</si>
  <si>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</si>
  <si>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</si>
  <si>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</si>
  <si>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</si>
  <si>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</si>
  <si>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</si>
  <si>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</si>
  <si>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</si>
  <si>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</si>
  <si>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</si>
  <si>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</si>
  <si>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</si>
  <si>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</si>
  <si>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</si>
  <si>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</si>
  <si>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</si>
  <si>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</si>
  <si>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</si>
  <si>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</si>
  <si>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</si>
  <si>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</si>
  <si>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</si>
  <si>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</si>
  <si>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</si>
  <si>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</si>
  <si>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</si>
  <si>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</si>
  <si>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</si>
  <si>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</si>
  <si>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</si>
  <si>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</si>
  <si>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</si>
  <si>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</si>
  <si>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</si>
  <si>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</si>
  <si>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</si>
  <si>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</si>
  <si>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</si>
  <si>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</si>
  <si>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</si>
  <si>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</si>
  <si>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</si>
  <si>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</si>
  <si>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</si>
  <si>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</si>
  <si>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</si>
  <si>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</si>
  <si>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</si>
  <si>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</si>
  <si>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</si>
  <si>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</si>
  <si>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</si>
  <si>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</si>
  <si>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</si>
  <si>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</si>
  <si>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</si>
  <si>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</si>
  <si>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</si>
  <si>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</si>
  <si>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</si>
  <si>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</si>
  <si>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</si>
  <si>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</si>
  <si>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</si>
  <si>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</si>
  <si>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</si>
  <si>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</si>
  <si>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</si>
  <si>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</si>
  <si>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</si>
  <si>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</si>
  <si>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</si>
  <si>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</si>
  <si>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</si>
  <si>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</si>
  <si>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</si>
  <si>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</si>
  <si>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</si>
  <si>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</si>
  <si>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</si>
  <si>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</si>
  <si>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</si>
  <si>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</si>
  <si>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</si>
  <si>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</si>
  <si>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</si>
  <si>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</si>
  <si>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</si>
  <si>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</si>
  <si>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</si>
  <si>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</si>
  <si>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</si>
  <si>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</si>
  <si>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</si>
  <si>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</si>
  <si>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</si>
  <si>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</si>
  <si>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</si>
  <si>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</si>
  <si>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</si>
  <si>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</si>
  <si>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</si>
  <si>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</si>
  <si>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</si>
  <si>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</si>
  <si>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</si>
  <si>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</si>
  <si>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</si>
  <si>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</si>
  <si>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</si>
  <si>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</si>
  <si>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</si>
  <si>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</si>
  <si>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</si>
  <si>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</si>
  <si>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</si>
  <si>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</si>
  <si>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</si>
  <si>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</si>
  <si>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</si>
  <si>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</si>
  <si>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</si>
  <si>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</si>
  <si>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</si>
  <si>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</si>
  <si>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</si>
  <si>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</si>
  <si>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</si>
  <si>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</si>
  <si>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</si>
  <si>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</si>
  <si>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</si>
  <si>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</si>
  <si>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</si>
  <si>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</si>
  <si>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</si>
  <si>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</si>
  <si>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</si>
  <si>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</si>
  <si>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</si>
  <si>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</si>
  <si>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</si>
  <si>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</si>
  <si>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</si>
  <si>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</si>
  <si>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</si>
  <si>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</si>
  <si>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</si>
  <si>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</si>
  <si>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</si>
  <si>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</si>
  <si>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</si>
  <si>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</si>
  <si>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</si>
  <si>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</si>
  <si>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</si>
  <si>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</si>
  <si>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</si>
  <si>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</si>
  <si>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</si>
  <si>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</si>
  <si>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</si>
  <si>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</si>
  <si>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</si>
  <si>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</si>
  <si>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</si>
  <si>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</si>
  <si>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</si>
  <si>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</si>
  <si>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</si>
  <si>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</si>
  <si>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</si>
  <si>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</si>
  <si>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</si>
  <si>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</si>
  <si>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</si>
  <si>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</si>
  <si>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</si>
  <si>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</si>
  <si>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</si>
  <si>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</si>
  <si>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</si>
  <si>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</si>
  <si>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</si>
  <si>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</si>
  <si>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</si>
  <si>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</si>
  <si>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</si>
  <si>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</si>
  <si>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</si>
  <si>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</si>
  <si>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</si>
  <si>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</si>
  <si>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</si>
  <si>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</si>
  <si>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</si>
  <si>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</si>
  <si>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</si>
  <si>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</si>
  <si>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</si>
  <si>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</si>
  <si>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</si>
  <si>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</si>
  <si>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</si>
  <si>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</si>
  <si>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</si>
  <si>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</si>
  <si>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</si>
  <si>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</si>
  <si>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</si>
  <si>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</si>
  <si>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</si>
  <si>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</si>
  <si>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</si>
  <si>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</si>
  <si>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</si>
  <si>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</si>
  <si>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</si>
  <si>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</si>
  <si>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</si>
  <si>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</si>
  <si>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</si>
  <si>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</si>
  <si>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</si>
  <si>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</si>
  <si>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</si>
  <si>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</si>
  <si>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</si>
  <si>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</si>
  <si>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</si>
  <si>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</si>
  <si>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</si>
  <si>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</si>
  <si>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</si>
  <si>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</si>
  <si>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</si>
  <si>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</si>
  <si>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</si>
  <si>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</si>
  <si>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</si>
  <si>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</si>
  <si>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</si>
  <si>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</si>
  <si>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</si>
  <si>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</si>
  <si>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</si>
  <si>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</si>
  <si>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</si>
  <si>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</si>
  <si>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</si>
  <si>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</si>
  <si>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</si>
  <si>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</si>
  <si>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</si>
  <si>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</si>
  <si>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</si>
  <si>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</si>
  <si>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</si>
  <si>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</si>
  <si>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</si>
  <si>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</si>
  <si>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</si>
  <si>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</si>
  <si>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</si>
  <si>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</si>
  <si>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</si>
  <si>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</si>
  <si>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</si>
  <si>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</si>
  <si>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</si>
  <si>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</si>
  <si>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</si>
  <si>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</si>
  <si>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</si>
  <si>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</si>
  <si>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</si>
  <si>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</si>
  <si>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</si>
  <si>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</si>
  <si>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</si>
  <si>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</si>
  <si>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</si>
  <si>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</si>
  <si>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</si>
  <si>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</si>
  <si>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</si>
  <si>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</si>
  <si>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</si>
  <si>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</si>
  <si>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</si>
  <si>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</si>
  <si>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</si>
  <si>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</si>
  <si>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</si>
  <si>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</si>
  <si>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</si>
  <si>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</si>
  <si>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</si>
  <si>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</si>
  <si>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</si>
  <si>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</si>
  <si>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</si>
  <si>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</si>
  <si>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</si>
  <si>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</si>
  <si>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</si>
  <si>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</si>
  <si>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</si>
  <si>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</si>
  <si>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</si>
  <si>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</si>
  <si>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</si>
  <si>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</si>
  <si>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</si>
  <si>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</si>
  <si>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</si>
  <si>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</si>
  <si>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</si>
  <si>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</si>
  <si>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</si>
  <si>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</si>
  <si>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</si>
  <si>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</si>
  <si>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</si>
  <si>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</si>
  <si>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</si>
  <si>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</si>
  <si>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</si>
  <si>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</si>
  <si>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</si>
  <si>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</si>
  <si>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</si>
  <si>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</si>
  <si>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</si>
  <si>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</si>
  <si>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</si>
  <si>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</si>
  <si>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</si>
  <si>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</si>
  <si>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</si>
  <si>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</si>
  <si>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</si>
  <si>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</si>
  <si>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</si>
  <si>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</si>
  <si>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</si>
  <si>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</si>
  <si>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</si>
  <si>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</si>
  <si>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</si>
  <si>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</si>
  <si>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</si>
  <si>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</si>
  <si>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</si>
  <si>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</si>
  <si>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</si>
  <si>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</si>
  <si>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</si>
  <si>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</si>
  <si>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</si>
  <si>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</si>
  <si>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</si>
  <si>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</si>
  <si>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</si>
  <si>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</si>
  <si>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</si>
  <si>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</si>
  <si>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</si>
  <si>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</si>
  <si>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</si>
  <si>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</si>
  <si>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</si>
  <si>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</si>
  <si>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</si>
  <si>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</si>
  <si>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</si>
  <si>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</si>
  <si>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</si>
  <si>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</si>
  <si>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</si>
  <si>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</si>
  <si>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</si>
  <si>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</si>
  <si>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</si>
  <si>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</si>
  <si>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</si>
  <si>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</si>
  <si>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</si>
  <si>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</si>
  <si>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</si>
  <si>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</si>
  <si>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</si>
  <si>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</si>
  <si>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</si>
  <si>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</si>
  <si>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</si>
  <si>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</si>
  <si>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</si>
  <si>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</si>
  <si>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</si>
  <si>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</si>
  <si>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</si>
  <si>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</si>
  <si>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</si>
  <si>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</si>
  <si>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</si>
  <si>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</si>
  <si>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</si>
  <si>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</si>
  <si>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</si>
  <si>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</si>
  <si>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</si>
  <si>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</si>
  <si>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</si>
  <si>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</si>
  <si>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</si>
  <si>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</si>
  <si>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</si>
  <si>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</si>
  <si>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</si>
  <si>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</si>
  <si>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</si>
  <si>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</si>
  <si>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</si>
  <si>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</si>
  <si>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</si>
  <si>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</si>
  <si>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</si>
  <si>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</si>
  <si>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</si>
  <si>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</si>
  <si>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</si>
  <si>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</si>
  <si>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</si>
  <si>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</si>
  <si>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</si>
  <si>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</si>
  <si>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</si>
  <si>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</si>
  <si>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</si>
  <si>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</si>
  <si>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</si>
  <si>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</si>
  <si>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</si>
  <si>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</si>
  <si>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</si>
  <si>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</si>
  <si>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</si>
  <si>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</si>
  <si>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</si>
  <si>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</si>
  <si>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</si>
  <si>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</si>
  <si>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</si>
  <si>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</si>
  <si>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</si>
  <si>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</si>
  <si>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</si>
  <si>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</si>
  <si>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</si>
  <si>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</si>
  <si>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</si>
  <si>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</si>
  <si>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</si>
  <si>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</si>
  <si>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</si>
  <si>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</si>
  <si>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</si>
  <si>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</si>
  <si>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</si>
  <si>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</si>
  <si>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</si>
  <si>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</si>
  <si>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</si>
  <si>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</si>
  <si>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</si>
  <si>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</si>
  <si>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</si>
  <si>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</si>
  <si>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</si>
  <si>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</si>
  <si>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</si>
  <si>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</si>
  <si>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</si>
  <si>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</si>
  <si>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</si>
  <si>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</si>
  <si>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</si>
  <si>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</si>
  <si>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</si>
  <si>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</si>
  <si>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</si>
  <si>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</si>
  <si>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</si>
  <si>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</si>
  <si>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</si>
  <si>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</si>
  <si>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</si>
  <si>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</si>
  <si>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</si>
  <si>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</si>
  <si>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</si>
  <si>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</si>
  <si>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</si>
  <si>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</si>
  <si>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</si>
  <si>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</si>
  <si>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</si>
  <si>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</si>
  <si>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</si>
  <si>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</si>
  <si>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</si>
  <si>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</si>
  <si>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</si>
  <si>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</si>
  <si>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</si>
  <si>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</si>
  <si>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</si>
  <si>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</si>
  <si>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</si>
  <si>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</si>
  <si>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</si>
  <si>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</si>
  <si>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</si>
  <si>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</si>
  <si>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</si>
  <si>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</si>
  <si>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</si>
  <si>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</si>
  <si>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</si>
  <si>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</si>
  <si>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</si>
  <si>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</si>
  <si>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</si>
  <si>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</si>
  <si>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</si>
  <si>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</si>
  <si>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</si>
  <si>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</si>
  <si>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</si>
  <si>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</si>
  <si>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</si>
  <si>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</si>
  <si>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</si>
  <si>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</si>
  <si>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</si>
  <si>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</si>
  <si>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</si>
  <si>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</si>
  <si>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</si>
  <si>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</si>
  <si>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</si>
  <si>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</si>
  <si>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</si>
  <si>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</si>
  <si>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</si>
  <si>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</si>
  <si>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</si>
  <si>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</si>
  <si>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</si>
  <si>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</si>
  <si>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</si>
  <si>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</si>
  <si>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</si>
  <si>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</si>
  <si>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</si>
  <si>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</si>
  <si>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</si>
  <si>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</si>
  <si>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</si>
  <si>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</si>
  <si>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</si>
  <si>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</si>
  <si>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</si>
  <si>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</si>
  <si>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</si>
  <si>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</si>
  <si>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</si>
  <si>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</si>
  <si>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</si>
  <si>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</si>
  <si>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</si>
  <si>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</si>
  <si>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</si>
  <si>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</si>
  <si>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</si>
  <si>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</si>
  <si>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</si>
  <si>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</si>
  <si>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</si>
  <si>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</si>
  <si>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</si>
  <si>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</si>
  <si>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</si>
  <si>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</si>
  <si>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</si>
  <si>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</si>
  <si>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</si>
  <si>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</si>
  <si>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</si>
  <si>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</si>
  <si>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</si>
  <si>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</si>
  <si>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</si>
  <si>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</si>
  <si>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</si>
  <si>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</si>
  <si>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</si>
  <si>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</si>
  <si>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</si>
  <si>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</si>
  <si>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</si>
  <si>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</si>
  <si>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</si>
  <si>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</si>
  <si>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</si>
  <si>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</si>
  <si>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</si>
  <si>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</si>
  <si>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</si>
  <si>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</si>
  <si>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</si>
  <si>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</si>
  <si>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</si>
  <si>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</si>
  <si>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</si>
  <si>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</si>
  <si>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</si>
  <si>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</si>
  <si>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</si>
  <si>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</si>
  <si>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</si>
  <si>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</si>
  <si>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</si>
  <si>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</si>
  <si>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</si>
  <si>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</si>
  <si>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</si>
  <si>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</si>
  <si>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</si>
  <si>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</si>
  <si>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</si>
  <si>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</si>
  <si>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</si>
  <si>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</si>
  <si>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</si>
  <si>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</si>
  <si>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</si>
  <si>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</si>
  <si>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</si>
  <si>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</si>
  <si>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</si>
  <si>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</si>
  <si>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</si>
  <si>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</si>
  <si>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</si>
  <si>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</si>
  <si>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</si>
  <si>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</si>
  <si>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</si>
  <si>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</si>
  <si>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</si>
  <si>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</si>
  <si>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</si>
  <si>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</si>
  <si>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</si>
  <si>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</si>
  <si>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</si>
  <si>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</si>
  <si>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</si>
  <si>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</si>
  <si>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</si>
  <si>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</si>
  <si>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</si>
  <si>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</si>
  <si>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</si>
  <si>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</si>
  <si>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</si>
  <si>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</si>
  <si>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</si>
  <si>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</si>
  <si>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</si>
  <si>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</si>
  <si>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</si>
  <si>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</si>
  <si>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</si>
  <si>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</si>
  <si>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</si>
  <si>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</si>
  <si>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</si>
  <si>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</si>
  <si>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</si>
  <si>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</si>
  <si>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</si>
  <si>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</si>
  <si>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</si>
  <si>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</si>
  <si>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</si>
  <si>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</si>
  <si>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</si>
  <si>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</si>
  <si>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</si>
  <si>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</si>
  <si>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</si>
  <si>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</si>
  <si>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</si>
  <si>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</si>
  <si>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</si>
  <si>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</si>
  <si>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</si>
  <si>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</si>
  <si>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</si>
  <si>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</si>
  <si>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</si>
  <si>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</si>
  <si>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</si>
  <si>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</si>
  <si>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</si>
  <si>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</si>
  <si>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</si>
  <si>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</si>
  <si>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</si>
  <si>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</si>
  <si>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</si>
  <si>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</si>
  <si>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</si>
  <si>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</si>
  <si>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</si>
  <si>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</si>
  <si>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</si>
  <si>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</si>
  <si>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</si>
  <si>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</si>
  <si>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</si>
  <si>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</si>
  <si>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</si>
  <si>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</si>
  <si>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</si>
  <si>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</si>
  <si>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</si>
  <si>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</si>
  <si>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</si>
  <si>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</si>
  <si>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</si>
  <si>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</si>
  <si>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</si>
  <si>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</si>
  <si>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</si>
  <si>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</si>
  <si>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</si>
  <si>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</si>
  <si>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</si>
  <si>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</si>
  <si>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</si>
  <si>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</si>
  <si>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</si>
  <si>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</si>
  <si>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</si>
  <si>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</si>
  <si>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</si>
  <si>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</si>
  <si>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</si>
  <si>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</si>
  <si>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</si>
  <si>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</si>
  <si>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</si>
  <si>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</si>
  <si>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</si>
  <si>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</si>
  <si>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</si>
  <si>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</si>
  <si>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</si>
  <si>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</si>
  <si>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</si>
  <si>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</si>
  <si>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</si>
  <si>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</si>
  <si>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</si>
  <si>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</si>
  <si>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</si>
  <si>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</si>
  <si>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</si>
  <si>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</si>
  <si>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</si>
  <si>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</si>
  <si>
    <t>Veuillez cliquer sur la cellule ci-dessous pour choisir la commune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</si>
</sst>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9">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4" fontId="0" fillId="11" borderId="1" xfId="0" applyNumberFormat="1" applyFill="1" applyBorder="1"/>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xf numFmtId="0" fontId="6" fillId="0" borderId="0" xfId="0" applyFont="1"/>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layout/>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layout/>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layout/>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layout/>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layout/>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layout/>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4473-4627-B6BF-1A2FAE0B92B4}"/>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4473-4627-B6BF-1A2FAE0B92B4}"/>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4473-4627-B6BF-1A2FAE0B92B4}"/>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4473-4627-B6BF-1A2FAE0B92B4}"/>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4473-4627-B6BF-1A2FAE0B92B4}"/>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4473-4627-B6BF-1A2FAE0B92B4}"/>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4473-4627-B6BF-1A2FAE0B92B4}"/>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4473-4627-B6BF-1A2FAE0B92B4}"/>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4473-4627-B6BF-1A2FAE0B92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Revenus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DC0F-4DB5-B221-85C24E14FAB9}"/>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DC0F-4DB5-B221-85C24E14FAB9}"/>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DC0F-4DB5-B221-85C24E14FAB9}"/>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DC0F-4DB5-B221-85C24E14FAB9}"/>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DC0F-4DB5-B221-85C24E14FAB9}"/>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DC0F-4DB5-B221-85C24E14FAB9}"/>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DC0F-4DB5-B221-85C24E14FAB9}"/>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DC0F-4DB5-B221-85C24E14FAB9}"/>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DC0F-4DB5-B221-85C24E14FAB9}"/>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DC0F-4DB5-B221-85C24E14FAB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3376-4089-A76F-DD1FD0CD88C8}"/>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3376-4089-A76F-DD1FD0CD88C8}"/>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3376-4089-A76F-DD1FD0CD88C8}"/>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3376-4089-A76F-DD1FD0CD88C8}"/>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3376-4089-A76F-DD1FD0CD88C8}"/>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3376-4089-A76F-DD1FD0CD88C8}"/>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3376-4089-A76F-DD1FD0CD88C8}"/>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3376-4089-A76F-DD1FD0CD88C8}"/>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3376-4089-A76F-DD1FD0CD88C8}"/>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3376-4089-A76F-DD1FD0CD88C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'4.12.1 et 2 Graph par fonction'!$A$2:$A$11</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fonction'!$B$2:$B$11</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Revenus</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AE0C-4D07-8332-E566B5CE0D63}"/>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AE0C-4D07-8332-E566B5CE0D63}"/>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AE0C-4D07-8332-E566B5CE0D63}"/>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AE0C-4D07-8332-E566B5CE0D63}"/>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AE0C-4D07-8332-E566B5CE0D63}"/>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AE0C-4D07-8332-E566B5CE0D63}"/>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AE0C-4D07-8332-E566B5CE0D63}"/>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AE0C-4D07-8332-E566B5CE0D63}"/>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AE0C-4D07-8332-E566B5CE0D63}"/>
              </c:ext>
            </c:extLst>
          </c:dPt>
          <c:dPt>
            <c:idx val="9"/>
            <c:bubble3D val="0"/>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3-AE0C-4D07-8332-E566B5CE0D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'4.12.1 et 2 Graph par fonction'!$A$14:$A$23</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fonction'!$B$14:$B$23</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Etat</a:t>
            </a:r>
            <a:r>
              <a:rPr lang="fr-CH" baseline="0"/>
              <a:t> des capitaux propres</a:t>
            </a:r>
            <a:endParaRPr lang="fr-CH"/>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1-0CB0-441C-AD1D-2BF317583BB0}"/>
              </c:ext>
            </c:extLst>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3-0CB0-441C-AD1D-2BF317583BB0}"/>
              </c:ext>
            </c:extLst>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5-0CB0-441C-AD1D-2BF317583BB0}"/>
              </c:ext>
            </c:extLst>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7-0CB0-441C-AD1D-2BF317583BB0}"/>
              </c:ext>
            </c:extLst>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9-0CB0-441C-AD1D-2BF317583BB0}"/>
              </c:ext>
            </c:extLst>
          </c:dPt>
          <c:dPt>
            <c:idx val="5"/>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B-0CB0-441C-AD1D-2BF317583BB0}"/>
              </c:ext>
            </c:extLst>
          </c:dPt>
          <c:dPt>
            <c:idx val="6"/>
            <c:bubble3D val="0"/>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D-0CB0-441C-AD1D-2BF317583BB0}"/>
              </c:ext>
            </c:extLst>
          </c:dPt>
          <c:dPt>
            <c:idx val="7"/>
            <c:bubble3D val="0"/>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0F-0CB0-441C-AD1D-2BF317583BB0}"/>
              </c:ext>
            </c:extLst>
          </c:dPt>
          <c:dPt>
            <c:idx val="8"/>
            <c:bubble3D val="0"/>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extLst>
              <c:ext xmlns:c16="http://schemas.microsoft.com/office/drawing/2014/chart" uri="{C3380CC4-5D6E-409C-BE32-E72D297353CC}">
                <c16:uniqueId val="{00000011-0CB0-441C-AD1D-2BF317583B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fr-FR"/>
              </a:p>
            </c:txPr>
            <c:dLblPos val="bestFit"/>
            <c:showLegendKey val="0"/>
            <c:showVal val="1"/>
            <c:showCatName val="0"/>
            <c:showSerName val="0"/>
            <c:showPercent val="0"/>
            <c:showBubbleSize val="0"/>
            <c:showLeaderLines val="1"/>
            <c:leaderLines>
              <c:spPr>
                <a:ln w="9525">
                  <a:solidFill>
                    <a:schemeClr val="lt1">
                      <a:lumMod val="95000"/>
                      <a:alpha val="54000"/>
                    </a:schemeClr>
                  </a:solidFill>
                </a:ln>
                <a:effectLst/>
              </c:spPr>
            </c:leaderLines>
            <c:extLst>
              <c:ext xmlns:c15="http://schemas.microsoft.com/office/drawing/2012/chart" uri="{CE6537A1-D6FC-4f65-9D91-7224C49458BB}">
                <c15:layout/>
              </c:ext>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dLblPos val="bestFit"/>
          <c:showLegendKey val="0"/>
          <c:showVal val="1"/>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CH"/>
              <a:t>Endettement brut</a:t>
            </a:r>
          </a:p>
        </c:rich>
      </c:tx>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solidFill>
                <a:sysClr val="window" lastClr="FFFFFF"/>
              </a:solid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15:showLeaderLines val="0"/>
              </c:ext>
            </c:extLst>
          </c:dLbls>
          <c:cat>
            <c:strRef>
              <c:f>'5.4.1Graphique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'5.4.1Graphique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0"/>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dk1">
                  <a:lumMod val="50000"/>
                  <a:lumOff val="50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6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9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23</xdr:row>
      <xdr:rowOff>161925</xdr:rowOff>
    </xdr:from>
    <xdr:to>
      <xdr:col>4</xdr:col>
      <xdr:colOff>9525</xdr:colOff>
      <xdr:row>44</xdr:row>
      <xdr:rowOff>182217</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9526</xdr:colOff>
      <xdr:row>45</xdr:row>
      <xdr:rowOff>190499</xdr:rowOff>
    </xdr:from>
    <xdr:to>
      <xdr:col>4</xdr:col>
      <xdr:colOff>9524</xdr:colOff>
      <xdr:row>66</xdr:row>
      <xdr:rowOff>161925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6" t="s">
        <v>610</v>
      </c>
    </row>
    <row r="4" spans="1:3" ht="21" x14ac:dyDescent="0.35">
      <c r="B4" s="195" t="s">
        <v>621</v>
      </c>
      <c r="C4" s="157"/>
    </row>
    <row r="5" spans="1:3" x14ac:dyDescent="0.25">
      <c r="C5" s="157"/>
    </row>
    <row r="6" spans="1:3" x14ac:dyDescent="0.25">
      <c r="A6" s="65">
        <v>1</v>
      </c>
      <c r="B6" s="7" t="s">
        <v>611</v>
      </c>
      <c r="C6" s="163"/>
    </row>
    <row r="7" spans="1:3" x14ac:dyDescent="0.25">
      <c r="A7" s="157">
        <v>1.1000000000000001</v>
      </c>
      <c r="B7" t="s">
        <v>611</v>
      </c>
      <c r="C7" s="164" t="s">
        <v>611</v>
      </c>
    </row>
    <row r="8" spans="1:3" x14ac:dyDescent="0.25">
      <c r="A8" s="157"/>
      <c r="C8" s="165"/>
    </row>
    <row r="9" spans="1:3" x14ac:dyDescent="0.25">
      <c r="A9" s="65">
        <v>2</v>
      </c>
      <c r="B9" s="7" t="s">
        <v>615</v>
      </c>
      <c r="C9" s="165"/>
    </row>
    <row r="10" spans="1:3" x14ac:dyDescent="0.25">
      <c r="A10" s="157">
        <v>2.1</v>
      </c>
      <c r="B10" t="s">
        <v>622</v>
      </c>
      <c r="C10" s="166" t="s">
        <v>636</v>
      </c>
    </row>
    <row r="11" spans="1:3" x14ac:dyDescent="0.25">
      <c r="A11" s="157">
        <v>2.2000000000000002</v>
      </c>
      <c r="B11" t="s">
        <v>623</v>
      </c>
      <c r="C11" s="167" t="s">
        <v>637</v>
      </c>
    </row>
    <row r="12" spans="1:3" x14ac:dyDescent="0.25">
      <c r="A12" s="157">
        <v>2.2999999999999998</v>
      </c>
      <c r="B12" t="s">
        <v>659</v>
      </c>
      <c r="C12" s="167" t="s">
        <v>661</v>
      </c>
    </row>
    <row r="13" spans="1:3" x14ac:dyDescent="0.25">
      <c r="A13" s="157">
        <v>2.4</v>
      </c>
      <c r="B13" t="s">
        <v>612</v>
      </c>
      <c r="C13" s="167" t="s">
        <v>612</v>
      </c>
    </row>
    <row r="14" spans="1:3" x14ac:dyDescent="0.25">
      <c r="A14" s="157">
        <v>2.5</v>
      </c>
      <c r="B14" t="s">
        <v>613</v>
      </c>
      <c r="C14" s="167" t="s">
        <v>613</v>
      </c>
    </row>
    <row r="15" spans="1:3" x14ac:dyDescent="0.25">
      <c r="A15" s="157">
        <v>2.6</v>
      </c>
      <c r="B15" t="s">
        <v>638</v>
      </c>
      <c r="C15" s="167" t="s">
        <v>638</v>
      </c>
    </row>
    <row r="16" spans="1:3" x14ac:dyDescent="0.25">
      <c r="A16" s="157">
        <v>2.7</v>
      </c>
      <c r="B16" t="s">
        <v>639</v>
      </c>
      <c r="C16" s="167" t="s">
        <v>640</v>
      </c>
    </row>
    <row r="17" spans="1:3" x14ac:dyDescent="0.25">
      <c r="A17" s="157">
        <v>2.8</v>
      </c>
      <c r="B17" t="s">
        <v>558</v>
      </c>
      <c r="C17" s="167" t="s">
        <v>558</v>
      </c>
    </row>
    <row r="18" spans="1:3" x14ac:dyDescent="0.25">
      <c r="A18" s="157">
        <v>2.9</v>
      </c>
      <c r="B18" t="s">
        <v>614</v>
      </c>
      <c r="C18" s="167" t="s">
        <v>614</v>
      </c>
    </row>
    <row r="19" spans="1:3" x14ac:dyDescent="0.25">
      <c r="A19" s="162">
        <v>2.1</v>
      </c>
      <c r="B19" t="s">
        <v>616</v>
      </c>
      <c r="C19" s="167" t="s">
        <v>616</v>
      </c>
    </row>
    <row r="20" spans="1:3" x14ac:dyDescent="0.25">
      <c r="A20" s="162">
        <v>2.11</v>
      </c>
      <c r="B20" t="s">
        <v>617</v>
      </c>
      <c r="C20" s="167" t="s">
        <v>641</v>
      </c>
    </row>
    <row r="21" spans="1:3" x14ac:dyDescent="0.25">
      <c r="A21" s="157"/>
      <c r="C21" s="165"/>
    </row>
    <row r="22" spans="1:3" x14ac:dyDescent="0.25">
      <c r="A22" s="65">
        <v>3</v>
      </c>
      <c r="B22" s="7" t="s">
        <v>618</v>
      </c>
      <c r="C22" s="165"/>
    </row>
    <row r="23" spans="1:3" x14ac:dyDescent="0.25">
      <c r="A23" s="157">
        <v>3.2</v>
      </c>
      <c r="B23" t="s">
        <v>626</v>
      </c>
      <c r="C23" s="168" t="s">
        <v>626</v>
      </c>
    </row>
    <row r="24" spans="1:3" x14ac:dyDescent="0.25">
      <c r="A24" s="157">
        <v>3.3</v>
      </c>
      <c r="B24" t="s">
        <v>625</v>
      </c>
      <c r="C24" s="168" t="s">
        <v>625</v>
      </c>
    </row>
    <row r="25" spans="1:3" x14ac:dyDescent="0.25">
      <c r="A25" s="157">
        <v>3.4</v>
      </c>
      <c r="B25" t="s">
        <v>756</v>
      </c>
      <c r="C25" s="168" t="s">
        <v>756</v>
      </c>
    </row>
    <row r="26" spans="1:3" x14ac:dyDescent="0.25">
      <c r="A26" s="157">
        <v>3.5</v>
      </c>
      <c r="B26" t="s">
        <v>619</v>
      </c>
      <c r="C26" s="168" t="s">
        <v>642</v>
      </c>
    </row>
    <row r="27" spans="1:3" x14ac:dyDescent="0.25">
      <c r="A27" s="157">
        <v>3.6</v>
      </c>
      <c r="B27" t="s">
        <v>620</v>
      </c>
      <c r="C27" s="168" t="s">
        <v>755</v>
      </c>
    </row>
    <row r="28" spans="1:3" x14ac:dyDescent="0.25">
      <c r="A28" s="157"/>
      <c r="C28" s="165"/>
    </row>
    <row r="29" spans="1:3" x14ac:dyDescent="0.25">
      <c r="A29" s="65">
        <v>4</v>
      </c>
      <c r="B29" s="7" t="s">
        <v>628</v>
      </c>
      <c r="C29" s="165"/>
    </row>
    <row r="30" spans="1:3" x14ac:dyDescent="0.25">
      <c r="A30" s="157">
        <v>4.0999999999999996</v>
      </c>
      <c r="B30" t="s">
        <v>627</v>
      </c>
      <c r="C30" s="169" t="s">
        <v>624</v>
      </c>
    </row>
    <row r="31" spans="1:3" x14ac:dyDescent="0.25">
      <c r="A31" s="157">
        <v>4.2</v>
      </c>
      <c r="B31" t="s">
        <v>660</v>
      </c>
      <c r="C31" s="169" t="s">
        <v>660</v>
      </c>
    </row>
    <row r="32" spans="1:3" x14ac:dyDescent="0.25">
      <c r="A32" s="157"/>
      <c r="C32" s="165"/>
    </row>
    <row r="33" spans="1:3" x14ac:dyDescent="0.25">
      <c r="A33" s="65">
        <v>5</v>
      </c>
      <c r="B33" s="7" t="s">
        <v>282</v>
      </c>
      <c r="C33" s="165"/>
    </row>
    <row r="34" spans="1:3" x14ac:dyDescent="0.25">
      <c r="A34" s="157">
        <v>5.0999999999999996</v>
      </c>
      <c r="B34" t="s">
        <v>757</v>
      </c>
      <c r="C34" s="171" t="s">
        <v>757</v>
      </c>
    </row>
    <row r="35" spans="1:3" x14ac:dyDescent="0.25">
      <c r="A35" s="157">
        <v>5.2</v>
      </c>
      <c r="B35" t="s">
        <v>635</v>
      </c>
      <c r="C35" s="170" t="s">
        <v>579</v>
      </c>
    </row>
    <row r="36" spans="1:3" x14ac:dyDescent="0.25">
      <c r="A36" s="157">
        <v>5.3</v>
      </c>
      <c r="B36" t="s">
        <v>631</v>
      </c>
      <c r="C36" s="171" t="s">
        <v>643</v>
      </c>
    </row>
    <row r="37" spans="1:3" x14ac:dyDescent="0.25">
      <c r="A37" s="157">
        <v>5.4</v>
      </c>
      <c r="B37" t="s">
        <v>632</v>
      </c>
      <c r="C37" s="171" t="s">
        <v>644</v>
      </c>
    </row>
    <row r="38" spans="1:3" x14ac:dyDescent="0.25">
      <c r="A38" s="157">
        <v>5.5</v>
      </c>
      <c r="B38" t="s">
        <v>633</v>
      </c>
      <c r="C38" s="171" t="s">
        <v>645</v>
      </c>
    </row>
    <row r="39" spans="1:3" x14ac:dyDescent="0.25">
      <c r="A39" s="157">
        <v>5.6</v>
      </c>
      <c r="B39" t="s">
        <v>634</v>
      </c>
      <c r="C39" s="170" t="s">
        <v>646</v>
      </c>
    </row>
    <row r="40" spans="1:3" x14ac:dyDescent="0.25">
      <c r="A40" s="157">
        <v>5.7</v>
      </c>
      <c r="B40" t="s">
        <v>629</v>
      </c>
      <c r="C40" s="171" t="s">
        <v>647</v>
      </c>
    </row>
    <row r="41" spans="1:3" x14ac:dyDescent="0.25">
      <c r="A41" s="157">
        <v>5.8</v>
      </c>
      <c r="B41" t="s">
        <v>630</v>
      </c>
      <c r="C41" s="171" t="s">
        <v>630</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8"/>
  <sheetViews>
    <sheetView workbookViewId="0">
      <selection activeCell="D9" sqref="D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816</v>
      </c>
      <c r="C6" s="56">
        <f>'4.1 Comptes 2020 natures'!BF153</f>
        <v>10804534.910000002</v>
      </c>
    </row>
    <row r="7" spans="1:3" x14ac:dyDescent="0.25">
      <c r="A7" s="52">
        <v>900</v>
      </c>
      <c r="B7" s="53" t="s">
        <v>222</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816</v>
      </c>
      <c r="C18" s="56">
        <f>'4.1 Comptes 2020 natures'!BG153</f>
        <v>3478485.71</v>
      </c>
    </row>
    <row r="19" spans="1:3" x14ac:dyDescent="0.25">
      <c r="A19" s="52">
        <v>900</v>
      </c>
      <c r="B19" s="53" t="s">
        <v>222</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816</v>
      </c>
      <c r="C30" s="56">
        <f>'4.1 Comptes 2020 natures'!BH153</f>
        <v>4836251.0600000005</v>
      </c>
    </row>
    <row r="31" spans="1:3" x14ac:dyDescent="0.25">
      <c r="A31" s="52">
        <v>900</v>
      </c>
      <c r="B31" s="53" t="s">
        <v>222</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816</v>
      </c>
      <c r="C42" s="56">
        <f>'4.1 Comptes 2020 natures'!BI153</f>
        <v>2489798.14</v>
      </c>
    </row>
    <row r="43" spans="1:3" x14ac:dyDescent="0.25">
      <c r="A43" s="52">
        <v>900</v>
      </c>
      <c r="B43" s="53" t="s">
        <v>222</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28</v>
      </c>
    </row>
    <row r="8" spans="1:3" x14ac:dyDescent="0.25">
      <c r="A8" s="51" t="s">
        <v>219</v>
      </c>
      <c r="B8" s="51" t="s">
        <v>204</v>
      </c>
      <c r="C8" s="51" t="s">
        <v>220</v>
      </c>
    </row>
    <row r="9" spans="1:3" x14ac:dyDescent="0.25">
      <c r="A9" s="52">
        <v>90</v>
      </c>
      <c r="B9" s="53" t="s">
        <v>222</v>
      </c>
      <c r="C9" s="56">
        <f>HLOOKUP($B$5,'4.1 Comptes 2020 natures'!$E$3:$BE$179,151,0)</f>
        <v>2089673.1800000002</v>
      </c>
    </row>
    <row r="10" spans="1:3" x14ac:dyDescent="0.25">
      <c r="A10" s="52">
        <v>900</v>
      </c>
      <c r="B10" s="53" t="s">
        <v>223</v>
      </c>
      <c r="C10" s="56">
        <f>HLOOKUP($B$5,'4.1 Comptes 2020 natures'!$E$3:$BE$179,152,0)</f>
        <v>-574634.73</v>
      </c>
    </row>
    <row r="11" spans="1:3" x14ac:dyDescent="0.25">
      <c r="A11" s="52">
        <v>901</v>
      </c>
      <c r="B11" s="53" t="s">
        <v>224</v>
      </c>
      <c r="C11" s="56">
        <f>HLOOKUP($B$5,'4.1 Comptes 2020 natures'!$E$3:$BE$179,153,0)</f>
        <v>2664307.91</v>
      </c>
    </row>
    <row r="12" spans="1:3" x14ac:dyDescent="0.25">
      <c r="A12" s="52">
        <v>400</v>
      </c>
      <c r="B12" s="53" t="s">
        <v>138</v>
      </c>
      <c r="C12" s="56">
        <f>HLOOKUP($B$5,'4.1 Comptes 2020 natures'!$E$3:$BE$179,75,0)</f>
        <v>28553161.5</v>
      </c>
    </row>
    <row r="13" spans="1:3" x14ac:dyDescent="0.25">
      <c r="A13" s="52">
        <v>401</v>
      </c>
      <c r="B13" s="53" t="s">
        <v>139</v>
      </c>
      <c r="C13" s="56">
        <f>HLOOKUP($B$5,'4.1 Comptes 2020 natures'!$E$3:$BE$179,76,0)</f>
        <v>5630325.2000000002</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-15853.609999999404</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G38" sqref="G38"/>
    </sheetView>
  </sheetViews>
  <sheetFormatPr baseColWidth="10" defaultRowHeight="15" x14ac:dyDescent="0.25"/>
  <cols>
    <col min="1" max="1" width="22.7109375" customWidth="1"/>
    <col min="2" max="2" width="34.42578125" customWidth="1"/>
    <col min="3" max="3" width="23" customWidth="1"/>
  </cols>
  <sheetData>
    <row r="1" spans="1:3" ht="23.25" x14ac:dyDescent="0.35">
      <c r="A1" s="196"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50" spans="1:3" x14ac:dyDescent="0.25">
      <c r="A50" s="7" t="s">
        <v>215</v>
      </c>
    </row>
    <row r="51" spans="1:3" x14ac:dyDescent="0.25">
      <c r="A51" s="7" t="s">
        <v>202</v>
      </c>
    </row>
    <row r="53" spans="1:3" x14ac:dyDescent="0.25">
      <c r="A53" s="51" t="s">
        <v>203</v>
      </c>
      <c r="B53" s="51" t="s">
        <v>204</v>
      </c>
      <c r="C53" s="51" t="s">
        <v>205</v>
      </c>
    </row>
    <row r="54" spans="1:3" x14ac:dyDescent="0.25">
      <c r="A54" s="52" t="s">
        <v>212</v>
      </c>
      <c r="B54" s="53" t="s">
        <v>206</v>
      </c>
      <c r="C54" s="56">
        <f>'4.1 Comptes 2020 natures'!BH5+'4.1 Comptes 2020 natures'!BH15+'4.1 Comptes 2020 natures'!BH27+'4.1 Comptes 2020 natures'!BH39+'4.1 Comptes 2020 natures'!BH43+'4.1 Comptes 2020 natures'!BH53</f>
        <v>52327622.390000008</v>
      </c>
    </row>
    <row r="55" spans="1:3" x14ac:dyDescent="0.25">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25">
      <c r="A56" s="53"/>
      <c r="B56" s="55" t="s">
        <v>208</v>
      </c>
      <c r="C56" s="62">
        <f>C55-C54</f>
        <v>4665316.8099999949</v>
      </c>
    </row>
    <row r="57" spans="1:3" x14ac:dyDescent="0.25">
      <c r="A57" s="53"/>
      <c r="B57" s="53"/>
      <c r="C57" s="56"/>
    </row>
    <row r="58" spans="1:3" x14ac:dyDescent="0.25">
      <c r="A58" s="53">
        <v>34</v>
      </c>
      <c r="B58" s="53" t="s">
        <v>101</v>
      </c>
      <c r="C58" s="56">
        <f>'4.1 Comptes 2020 natures'!BH31</f>
        <v>1127442.0800000003</v>
      </c>
    </row>
    <row r="59" spans="1:3" x14ac:dyDescent="0.25">
      <c r="A59" s="53">
        <v>44</v>
      </c>
      <c r="B59" s="53" t="s">
        <v>162</v>
      </c>
      <c r="C59" s="56">
        <f>'4.1 Comptes 2020 natures'!BH105</f>
        <v>1668859.72</v>
      </c>
    </row>
    <row r="60" spans="1:3" x14ac:dyDescent="0.25">
      <c r="A60" s="53"/>
      <c r="B60" s="55" t="s">
        <v>244</v>
      </c>
      <c r="C60" s="62">
        <f>C59-C58</f>
        <v>541417.63999999966</v>
      </c>
    </row>
    <row r="61" spans="1:3" x14ac:dyDescent="0.25">
      <c r="A61" s="53"/>
      <c r="B61" s="53"/>
      <c r="C61" s="56"/>
    </row>
    <row r="62" spans="1:3" x14ac:dyDescent="0.25">
      <c r="A62" s="53"/>
      <c r="B62" s="55" t="s">
        <v>209</v>
      </c>
      <c r="C62" s="62">
        <f>C56+C60</f>
        <v>5206734.4499999946</v>
      </c>
    </row>
    <row r="63" spans="1:3" x14ac:dyDescent="0.25">
      <c r="A63" s="53"/>
      <c r="B63" s="53"/>
      <c r="C63" s="56"/>
    </row>
    <row r="64" spans="1:3" x14ac:dyDescent="0.25">
      <c r="A64" s="53">
        <v>38</v>
      </c>
      <c r="B64" s="53" t="s">
        <v>121</v>
      </c>
      <c r="C64" s="56">
        <f>'4.1 Comptes 2020 natures'!BH56</f>
        <v>762430</v>
      </c>
    </row>
    <row r="65" spans="1:3" x14ac:dyDescent="0.25">
      <c r="A65" s="53">
        <v>48</v>
      </c>
      <c r="B65" s="53" t="s">
        <v>181</v>
      </c>
      <c r="C65" s="56">
        <f>'4.1 Comptes 2020 natures'!BH131</f>
        <v>375093.52</v>
      </c>
    </row>
    <row r="66" spans="1:3" x14ac:dyDescent="0.25">
      <c r="A66" s="53"/>
      <c r="B66" s="55" t="s">
        <v>210</v>
      </c>
      <c r="C66" s="62">
        <f>C65-C64</f>
        <v>-387336.48</v>
      </c>
    </row>
    <row r="67" spans="1:3" x14ac:dyDescent="0.25">
      <c r="A67" s="53"/>
      <c r="B67" s="53"/>
      <c r="C67" s="56"/>
    </row>
    <row r="68" spans="1:3" x14ac:dyDescent="0.25">
      <c r="A68" s="53"/>
      <c r="B68" s="55" t="s">
        <v>211</v>
      </c>
      <c r="C68" s="62">
        <f>C62+C66</f>
        <v>4819397.9699999951</v>
      </c>
    </row>
    <row r="71" spans="1:3" x14ac:dyDescent="0.25">
      <c r="A71" s="7" t="s">
        <v>216</v>
      </c>
    </row>
    <row r="72" spans="1:3" x14ac:dyDescent="0.25">
      <c r="A72" s="7" t="s">
        <v>202</v>
      </c>
    </row>
    <row r="74" spans="1:3" x14ac:dyDescent="0.25">
      <c r="A74" s="51" t="s">
        <v>203</v>
      </c>
      <c r="B74" s="51" t="s">
        <v>204</v>
      </c>
      <c r="C74" s="51" t="s">
        <v>205</v>
      </c>
    </row>
    <row r="75" spans="1:3" x14ac:dyDescent="0.25">
      <c r="A75" s="52" t="s">
        <v>212</v>
      </c>
      <c r="B75" s="53" t="s">
        <v>206</v>
      </c>
      <c r="C75" s="56">
        <f>'4.1 Comptes 2020 natures'!BI5+'4.1 Comptes 2020 natures'!BI15+'4.1 Comptes 2020 natures'!BI27+'4.1 Comptes 2020 natures'!BI39+'4.1 Comptes 2020 natures'!BI43+'4.1 Comptes 2020 natures'!BI53</f>
        <v>115193958.59999999</v>
      </c>
    </row>
    <row r="76" spans="1:3" x14ac:dyDescent="0.25">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25">
      <c r="A77" s="53"/>
      <c r="B77" s="55" t="s">
        <v>208</v>
      </c>
      <c r="C77" s="62">
        <f>C76-C75</f>
        <v>2725878.6799999923</v>
      </c>
    </row>
    <row r="78" spans="1:3" x14ac:dyDescent="0.25">
      <c r="A78" s="53"/>
      <c r="B78" s="53"/>
      <c r="C78" s="56"/>
    </row>
    <row r="79" spans="1:3" x14ac:dyDescent="0.25">
      <c r="A79" s="53">
        <v>34</v>
      </c>
      <c r="B79" s="53" t="s">
        <v>101</v>
      </c>
      <c r="C79" s="56">
        <f>'4.1 Comptes 2020 natures'!BI31</f>
        <v>3421336.13</v>
      </c>
    </row>
    <row r="80" spans="1:3" x14ac:dyDescent="0.25">
      <c r="A80" s="53">
        <v>44</v>
      </c>
      <c r="B80" s="53" t="s">
        <v>162</v>
      </c>
      <c r="C80" s="56">
        <f>'4.1 Comptes 2020 natures'!BI105</f>
        <v>6190920.0499999998</v>
      </c>
    </row>
    <row r="81" spans="1:3" x14ac:dyDescent="0.25">
      <c r="A81" s="53"/>
      <c r="B81" s="55" t="s">
        <v>244</v>
      </c>
      <c r="C81" s="62">
        <f>C80-C79</f>
        <v>2769583.92</v>
      </c>
    </row>
    <row r="82" spans="1:3" x14ac:dyDescent="0.25">
      <c r="A82" s="53"/>
      <c r="B82" s="53"/>
      <c r="C82" s="56"/>
    </row>
    <row r="83" spans="1:3" x14ac:dyDescent="0.25">
      <c r="A83" s="53"/>
      <c r="B83" s="55" t="s">
        <v>209</v>
      </c>
      <c r="C83" s="62">
        <f>C77+C81</f>
        <v>5495462.5999999922</v>
      </c>
    </row>
    <row r="84" spans="1:3" x14ac:dyDescent="0.25">
      <c r="A84" s="53"/>
      <c r="B84" s="53"/>
      <c r="C84" s="56"/>
    </row>
    <row r="85" spans="1:3" x14ac:dyDescent="0.25">
      <c r="A85" s="53">
        <v>38</v>
      </c>
      <c r="B85" s="53" t="s">
        <v>121</v>
      </c>
      <c r="C85" s="56">
        <f>'4.1 Comptes 2020 natures'!BI56</f>
        <v>3542424.7700000005</v>
      </c>
    </row>
    <row r="86" spans="1:3" x14ac:dyDescent="0.25">
      <c r="A86" s="53">
        <v>48</v>
      </c>
      <c r="B86" s="53" t="s">
        <v>181</v>
      </c>
      <c r="C86" s="56">
        <f>'4.1 Comptes 2020 natures'!BI131</f>
        <v>664951.15</v>
      </c>
    </row>
    <row r="87" spans="1:3" x14ac:dyDescent="0.25">
      <c r="A87" s="53"/>
      <c r="B87" s="55" t="s">
        <v>210</v>
      </c>
      <c r="C87" s="62">
        <f>C86-C85</f>
        <v>-2877473.6200000006</v>
      </c>
    </row>
    <row r="88" spans="1:3" x14ac:dyDescent="0.25">
      <c r="A88" s="53"/>
      <c r="B88" s="53"/>
      <c r="C88" s="56"/>
    </row>
    <row r="89" spans="1:3" x14ac:dyDescent="0.25">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C34" sqref="C34"/>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50</v>
      </c>
    </row>
    <row r="7" spans="1:3" x14ac:dyDescent="0.25">
      <c r="A7" s="51" t="s">
        <v>203</v>
      </c>
      <c r="B7" s="51" t="s">
        <v>204</v>
      </c>
      <c r="C7" s="51" t="s">
        <v>205</v>
      </c>
    </row>
    <row r="8" spans="1:3" x14ac:dyDescent="0.25">
      <c r="A8" s="52" t="s">
        <v>212</v>
      </c>
      <c r="B8" s="53" t="s">
        <v>206</v>
      </c>
      <c r="C8" s="56">
        <f>HLOOKUP($B$5,'4.1 Comptes 2020 natures'!$E$3:$BE$183,179,0)</f>
        <v>633218.63000000012</v>
      </c>
    </row>
    <row r="9" spans="1:3" x14ac:dyDescent="0.25">
      <c r="A9" s="52" t="s">
        <v>213</v>
      </c>
      <c r="B9" s="53" t="s">
        <v>207</v>
      </c>
      <c r="C9" s="56">
        <f>HLOOKUP($B$5,'4.1 Comptes 2020 natures'!$E$3:$BE$183,180,0)</f>
        <v>607232.1</v>
      </c>
    </row>
    <row r="10" spans="1:3" x14ac:dyDescent="0.25">
      <c r="A10" s="53"/>
      <c r="B10" s="55" t="s">
        <v>208</v>
      </c>
      <c r="C10" s="62">
        <f>C9-C8</f>
        <v>-25986.530000000144</v>
      </c>
    </row>
    <row r="11" spans="1:3" x14ac:dyDescent="0.25">
      <c r="A11" s="53"/>
      <c r="B11" s="53"/>
      <c r="C11" s="53"/>
    </row>
    <row r="12" spans="1:3" x14ac:dyDescent="0.25">
      <c r="A12" s="53">
        <v>34</v>
      </c>
      <c r="B12" s="53" t="s">
        <v>101</v>
      </c>
      <c r="C12" s="56">
        <f>HLOOKUP($B$5,'4.1 Comptes 2020 natures'!$E$3:$BE$183,29,0)</f>
        <v>450.2</v>
      </c>
    </row>
    <row r="13" spans="1:3" x14ac:dyDescent="0.25">
      <c r="A13" s="53">
        <v>44</v>
      </c>
      <c r="B13" s="53" t="s">
        <v>162</v>
      </c>
      <c r="C13" s="56">
        <f>HLOOKUP($B$5,'4.1 Comptes 2020 natures'!$E$3:$BE$183,103,0)</f>
        <v>14208.5</v>
      </c>
    </row>
    <row r="14" spans="1:3" x14ac:dyDescent="0.25">
      <c r="A14" s="53"/>
      <c r="B14" s="55" t="s">
        <v>244</v>
      </c>
      <c r="C14" s="62">
        <f>C13-C12</f>
        <v>13758.3</v>
      </c>
    </row>
    <row r="15" spans="1:3" x14ac:dyDescent="0.25">
      <c r="A15" s="53"/>
      <c r="B15" s="53"/>
      <c r="C15" s="53"/>
    </row>
    <row r="16" spans="1:3" x14ac:dyDescent="0.25">
      <c r="A16" s="53"/>
      <c r="B16" s="55" t="s">
        <v>209</v>
      </c>
      <c r="C16" s="62">
        <f>C10+C14</f>
        <v>-12228.230000000145</v>
      </c>
    </row>
    <row r="17" spans="1:3" x14ac:dyDescent="0.25">
      <c r="A17" s="53"/>
      <c r="B17" s="53"/>
      <c r="C17" s="53"/>
    </row>
    <row r="18" spans="1:3" x14ac:dyDescent="0.25">
      <c r="A18" s="53">
        <v>38</v>
      </c>
      <c r="B18" s="53" t="s">
        <v>121</v>
      </c>
      <c r="C18" s="56">
        <f>HLOOKUP($B$5,'4.1 Comptes 2020 natures'!$E$3:$BE$183,54,0)</f>
        <v>0</v>
      </c>
    </row>
    <row r="19" spans="1:3" x14ac:dyDescent="0.25">
      <c r="A19" s="53">
        <v>48</v>
      </c>
      <c r="B19" s="53" t="s">
        <v>181</v>
      </c>
      <c r="C19" s="56">
        <f>HLOOKUP($B$5,'4.1 Comptes 2020 natures'!$E$3:$BE$183,129,0)</f>
        <v>1</v>
      </c>
    </row>
    <row r="20" spans="1:3" x14ac:dyDescent="0.25">
      <c r="A20" s="53"/>
      <c r="B20" s="55" t="s">
        <v>210</v>
      </c>
      <c r="C20" s="62">
        <f>C19-C18</f>
        <v>1</v>
      </c>
    </row>
    <row r="21" spans="1:3" x14ac:dyDescent="0.25">
      <c r="A21" s="53"/>
      <c r="B21" s="53"/>
      <c r="C21" s="53"/>
    </row>
    <row r="22" spans="1:3" x14ac:dyDescent="0.25">
      <c r="A22" s="53"/>
      <c r="B22" s="55" t="s">
        <v>211</v>
      </c>
      <c r="C22" s="62">
        <f>C16+C20</f>
        <v>-12227.230000000145</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4" spans="1:4" x14ac:dyDescent="0.25">
      <c r="A4" s="7" t="s">
        <v>201</v>
      </c>
    </row>
    <row r="5" spans="1:4" x14ac:dyDescent="0.25">
      <c r="A5" s="7" t="s">
        <v>228</v>
      </c>
    </row>
    <row r="7" spans="1:4" x14ac:dyDescent="0.25">
      <c r="A7" s="51" t="s">
        <v>229</v>
      </c>
      <c r="B7" s="51"/>
      <c r="C7" s="51" t="s">
        <v>204</v>
      </c>
      <c r="D7" s="51" t="s">
        <v>205</v>
      </c>
    </row>
    <row r="8" spans="1:4" x14ac:dyDescent="0.25">
      <c r="A8" s="53">
        <v>90</v>
      </c>
      <c r="B8" s="58"/>
      <c r="C8" s="53" t="s">
        <v>195</v>
      </c>
      <c r="D8" s="56">
        <f>'4.1 Comptes 2020 natures'!BF153</f>
        <v>10804534.910000002</v>
      </c>
    </row>
    <row r="9" spans="1:4" x14ac:dyDescent="0.25">
      <c r="A9" s="53">
        <v>33</v>
      </c>
      <c r="B9" s="58" t="s">
        <v>231</v>
      </c>
      <c r="C9" s="53" t="s">
        <v>98</v>
      </c>
      <c r="D9" s="56">
        <f>'4.1 Comptes 2020 natures'!BF27</f>
        <v>22755841.089999996</v>
      </c>
    </row>
    <row r="10" spans="1:4" x14ac:dyDescent="0.25">
      <c r="A10" s="53">
        <v>35</v>
      </c>
      <c r="B10" s="58" t="s">
        <v>231</v>
      </c>
      <c r="C10" s="53" t="s">
        <v>233</v>
      </c>
      <c r="D10" s="56">
        <f>'4.1 Comptes 2020 natures'!BF39</f>
        <v>2143078.8400000003</v>
      </c>
    </row>
    <row r="11" spans="1:4" x14ac:dyDescent="0.25">
      <c r="A11" s="53">
        <v>45</v>
      </c>
      <c r="B11" s="58" t="s">
        <v>232</v>
      </c>
      <c r="C11" s="53" t="s">
        <v>174</v>
      </c>
      <c r="D11" s="56">
        <f>'4.1 Comptes 2020 natures'!BF117</f>
        <v>1308254.75</v>
      </c>
    </row>
    <row r="12" spans="1:4" x14ac:dyDescent="0.25">
      <c r="A12" s="53">
        <v>364</v>
      </c>
      <c r="B12" s="58" t="s">
        <v>231</v>
      </c>
      <c r="C12" s="53" t="s">
        <v>240</v>
      </c>
      <c r="D12" s="56">
        <f>'4.1 Comptes 2020 natures'!BF48</f>
        <v>4968</v>
      </c>
    </row>
    <row r="13" spans="1:4" x14ac:dyDescent="0.25">
      <c r="A13" s="53">
        <v>365</v>
      </c>
      <c r="B13" s="58" t="s">
        <v>231</v>
      </c>
      <c r="C13" s="53" t="s">
        <v>241</v>
      </c>
      <c r="D13" s="56">
        <f>'4.1 Comptes 2020 natures'!BF49</f>
        <v>8100</v>
      </c>
    </row>
    <row r="14" spans="1:4" x14ac:dyDescent="0.25">
      <c r="A14" s="53">
        <v>366</v>
      </c>
      <c r="B14" s="58" t="s">
        <v>231</v>
      </c>
      <c r="C14" s="53" t="s">
        <v>238</v>
      </c>
      <c r="D14" s="56">
        <f>'4.1 Comptes 2020 natures'!BF50</f>
        <v>15247.55</v>
      </c>
    </row>
    <row r="15" spans="1:4" x14ac:dyDescent="0.25">
      <c r="A15" s="53">
        <v>389</v>
      </c>
      <c r="B15" s="58" t="s">
        <v>231</v>
      </c>
      <c r="C15" s="53" t="s">
        <v>234</v>
      </c>
      <c r="D15" s="56">
        <f>'4.1 Comptes 2020 natures'!BF62</f>
        <v>5245810.57</v>
      </c>
    </row>
    <row r="16" spans="1:4" x14ac:dyDescent="0.25">
      <c r="A16" s="53">
        <v>4490</v>
      </c>
      <c r="B16" s="58" t="s">
        <v>232</v>
      </c>
      <c r="C16" s="53" t="s">
        <v>242</v>
      </c>
      <c r="D16" s="56">
        <f>'4.1 Comptes 2020 natures'!BF164</f>
        <v>300389</v>
      </c>
    </row>
    <row r="17" spans="1:4" x14ac:dyDescent="0.25">
      <c r="A17" s="53">
        <v>489</v>
      </c>
      <c r="B17" s="58" t="s">
        <v>232</v>
      </c>
      <c r="C17" s="53" t="s">
        <v>239</v>
      </c>
      <c r="D17" s="56">
        <f>'4.1 Comptes 2020 natures'!BF138</f>
        <v>2315443.12</v>
      </c>
    </row>
    <row r="18" spans="1:4" x14ac:dyDescent="0.25">
      <c r="A18" s="53"/>
      <c r="B18" s="58"/>
      <c r="C18" s="53"/>
      <c r="D18" s="56"/>
    </row>
    <row r="19" spans="1:4" x14ac:dyDescent="0.25">
      <c r="A19" s="54"/>
      <c r="B19" s="54"/>
      <c r="C19" s="55" t="s">
        <v>235</v>
      </c>
      <c r="D19" s="62">
        <f>D8+D9+D10-D11+D12+D13+D14+D15-D16-D17</f>
        <v>37053494.090000004</v>
      </c>
    </row>
    <row r="20" spans="1:4" x14ac:dyDescent="0.25">
      <c r="A20" s="53"/>
      <c r="B20" s="53"/>
      <c r="C20" s="53"/>
      <c r="D20" s="56"/>
    </row>
    <row r="21" spans="1:4" x14ac:dyDescent="0.25">
      <c r="A21" s="53" t="s">
        <v>230</v>
      </c>
      <c r="B21" s="59" t="s">
        <v>232</v>
      </c>
      <c r="C21" s="53" t="s">
        <v>236</v>
      </c>
      <c r="D21" s="56">
        <f>'6. Investissements'!BF182</f>
        <v>36028775.899999999</v>
      </c>
    </row>
    <row r="22" spans="1:4" x14ac:dyDescent="0.25">
      <c r="A22" s="53"/>
      <c r="B22" s="53"/>
      <c r="C22" s="53"/>
      <c r="D22" s="56"/>
    </row>
    <row r="23" spans="1:4" x14ac:dyDescent="0.25">
      <c r="A23" s="54"/>
      <c r="B23" s="54"/>
      <c r="C23" s="55" t="s">
        <v>237</v>
      </c>
      <c r="D23" s="62">
        <f>D19-D21</f>
        <v>1024718.1900000051</v>
      </c>
    </row>
    <row r="26" spans="1:4" x14ac:dyDescent="0.25">
      <c r="A26" s="7" t="s">
        <v>214</v>
      </c>
    </row>
    <row r="27" spans="1:4" x14ac:dyDescent="0.25">
      <c r="A27" s="7" t="s">
        <v>228</v>
      </c>
    </row>
    <row r="29" spans="1:4" x14ac:dyDescent="0.25">
      <c r="A29" s="51" t="s">
        <v>229</v>
      </c>
      <c r="B29" s="51"/>
      <c r="C29" s="51" t="s">
        <v>204</v>
      </c>
      <c r="D29" s="51" t="s">
        <v>205</v>
      </c>
    </row>
    <row r="30" spans="1:4" x14ac:dyDescent="0.25">
      <c r="A30" s="53">
        <v>90</v>
      </c>
      <c r="B30" s="58"/>
      <c r="C30" s="53" t="s">
        <v>195</v>
      </c>
      <c r="D30" s="56">
        <f>'4.1 Comptes 2020 natures'!BG153</f>
        <v>3478485.71</v>
      </c>
    </row>
    <row r="31" spans="1:4" x14ac:dyDescent="0.25">
      <c r="A31" s="53">
        <v>33</v>
      </c>
      <c r="B31" s="58" t="s">
        <v>231</v>
      </c>
      <c r="C31" s="53" t="s">
        <v>98</v>
      </c>
      <c r="D31" s="56">
        <f>'4.1 Comptes 2020 natures'!BG27</f>
        <v>11389345.599999998</v>
      </c>
    </row>
    <row r="32" spans="1:4" x14ac:dyDescent="0.25">
      <c r="A32" s="53">
        <v>35</v>
      </c>
      <c r="B32" s="58" t="s">
        <v>231</v>
      </c>
      <c r="C32" s="53" t="s">
        <v>233</v>
      </c>
      <c r="D32" s="56">
        <f>'4.1 Comptes 2020 natures'!BG39</f>
        <v>1161188.8600000001</v>
      </c>
    </row>
    <row r="33" spans="1:4" x14ac:dyDescent="0.25">
      <c r="A33" s="53">
        <v>45</v>
      </c>
      <c r="B33" s="58" t="s">
        <v>232</v>
      </c>
      <c r="C33" s="53" t="s">
        <v>174</v>
      </c>
      <c r="D33" s="56">
        <f>'4.1 Comptes 2020 natures'!BG117</f>
        <v>335835.21</v>
      </c>
    </row>
    <row r="34" spans="1:4" x14ac:dyDescent="0.25">
      <c r="A34" s="53">
        <v>364</v>
      </c>
      <c r="B34" s="58" t="s">
        <v>231</v>
      </c>
      <c r="C34" s="53" t="s">
        <v>240</v>
      </c>
      <c r="D34" s="56">
        <f>'4.1 Comptes 2020 natures'!BG48</f>
        <v>0</v>
      </c>
    </row>
    <row r="35" spans="1:4" x14ac:dyDescent="0.25">
      <c r="A35" s="53">
        <v>365</v>
      </c>
      <c r="B35" s="58" t="s">
        <v>231</v>
      </c>
      <c r="C35" s="53" t="s">
        <v>241</v>
      </c>
      <c r="D35" s="56">
        <f>'4.1 Comptes 2020 natures'!BG49</f>
        <v>8100</v>
      </c>
    </row>
    <row r="36" spans="1:4" x14ac:dyDescent="0.25">
      <c r="A36" s="53">
        <v>366</v>
      </c>
      <c r="B36" s="58" t="s">
        <v>231</v>
      </c>
      <c r="C36" s="53" t="s">
        <v>238</v>
      </c>
      <c r="D36" s="56">
        <f>'4.1 Comptes 2020 natures'!BG50</f>
        <v>15247.55</v>
      </c>
    </row>
    <row r="37" spans="1:4" x14ac:dyDescent="0.25">
      <c r="A37" s="53">
        <v>389</v>
      </c>
      <c r="B37" s="58" t="s">
        <v>231</v>
      </c>
      <c r="C37" s="53" t="s">
        <v>234</v>
      </c>
      <c r="D37" s="56">
        <f>'4.1 Comptes 2020 natures'!BG62</f>
        <v>978529.25</v>
      </c>
    </row>
    <row r="38" spans="1:4" x14ac:dyDescent="0.25">
      <c r="A38" s="53">
        <v>4490</v>
      </c>
      <c r="B38" s="58" t="s">
        <v>232</v>
      </c>
      <c r="C38" s="53" t="s">
        <v>242</v>
      </c>
      <c r="D38" s="56">
        <f>'4.1 Comptes 2020 natures'!BG164</f>
        <v>0</v>
      </c>
    </row>
    <row r="39" spans="1:4" x14ac:dyDescent="0.25">
      <c r="A39" s="53">
        <v>489</v>
      </c>
      <c r="B39" s="58" t="s">
        <v>232</v>
      </c>
      <c r="C39" s="53" t="s">
        <v>239</v>
      </c>
      <c r="D39" s="56">
        <f>'4.1 Comptes 2020 natures'!BG138</f>
        <v>1462478.3</v>
      </c>
    </row>
    <row r="40" spans="1:4" x14ac:dyDescent="0.25">
      <c r="A40" s="53"/>
      <c r="B40" s="58"/>
      <c r="C40" s="53"/>
      <c r="D40" s="56"/>
    </row>
    <row r="41" spans="1:4" x14ac:dyDescent="0.25">
      <c r="A41" s="54"/>
      <c r="B41" s="54"/>
      <c r="C41" s="55" t="s">
        <v>235</v>
      </c>
      <c r="D41" s="62">
        <f>D30+D31+D32-D33+D34+D35+D36+D37-D38-D39</f>
        <v>15232583.459999997</v>
      </c>
    </row>
    <row r="42" spans="1:4" x14ac:dyDescent="0.25">
      <c r="A42" s="53"/>
      <c r="B42" s="53"/>
      <c r="C42" s="53"/>
      <c r="D42" s="56"/>
    </row>
    <row r="43" spans="1:4" x14ac:dyDescent="0.25">
      <c r="A43" s="53" t="s">
        <v>230</v>
      </c>
      <c r="B43" s="59" t="s">
        <v>232</v>
      </c>
      <c r="C43" s="53" t="s">
        <v>236</v>
      </c>
      <c r="D43" s="56">
        <f>'6. Investissements'!BG182</f>
        <v>26605792.979999997</v>
      </c>
    </row>
    <row r="44" spans="1:4" x14ac:dyDescent="0.25">
      <c r="A44" s="53"/>
      <c r="B44" s="53"/>
      <c r="C44" s="53"/>
      <c r="D44" s="56"/>
    </row>
    <row r="45" spans="1:4" x14ac:dyDescent="0.25">
      <c r="A45" s="54"/>
      <c r="B45" s="54"/>
      <c r="C45" s="55" t="s">
        <v>237</v>
      </c>
      <c r="D45" s="62">
        <f>D41-D43</f>
        <v>-11373209.52</v>
      </c>
    </row>
    <row r="50" spans="1:4" x14ac:dyDescent="0.25">
      <c r="A50" s="7" t="s">
        <v>215</v>
      </c>
    </row>
    <row r="51" spans="1:4" x14ac:dyDescent="0.25">
      <c r="A51" s="7" t="s">
        <v>228</v>
      </c>
    </row>
    <row r="53" spans="1:4" x14ac:dyDescent="0.25">
      <c r="A53" s="51" t="s">
        <v>229</v>
      </c>
      <c r="B53" s="51"/>
      <c r="C53" s="51" t="s">
        <v>204</v>
      </c>
      <c r="D53" s="51" t="s">
        <v>205</v>
      </c>
    </row>
    <row r="54" spans="1:4" x14ac:dyDescent="0.25">
      <c r="A54" s="53">
        <v>90</v>
      </c>
      <c r="B54" s="58"/>
      <c r="C54" s="53" t="s">
        <v>195</v>
      </c>
      <c r="D54" s="56">
        <f>'4.1 Comptes 2020 natures'!BH153</f>
        <v>4836251.0600000005</v>
      </c>
    </row>
    <row r="55" spans="1:4" x14ac:dyDescent="0.25">
      <c r="A55" s="53">
        <v>33</v>
      </c>
      <c r="B55" s="58" t="s">
        <v>231</v>
      </c>
      <c r="C55" s="53" t="s">
        <v>98</v>
      </c>
      <c r="D55" s="56">
        <f>'4.1 Comptes 2020 natures'!BH27</f>
        <v>2911871.3</v>
      </c>
    </row>
    <row r="56" spans="1:4" x14ac:dyDescent="0.25">
      <c r="A56" s="53">
        <v>35</v>
      </c>
      <c r="B56" s="58" t="s">
        <v>231</v>
      </c>
      <c r="C56" s="53" t="s">
        <v>233</v>
      </c>
      <c r="D56" s="56">
        <f>'4.1 Comptes 2020 natures'!BH39</f>
        <v>295107.79999999993</v>
      </c>
    </row>
    <row r="57" spans="1:4" x14ac:dyDescent="0.25">
      <c r="A57" s="53">
        <v>45</v>
      </c>
      <c r="B57" s="58" t="s">
        <v>232</v>
      </c>
      <c r="C57" s="53" t="s">
        <v>174</v>
      </c>
      <c r="D57" s="56">
        <f>'4.1 Comptes 2020 natures'!BH117</f>
        <v>265039.32</v>
      </c>
    </row>
    <row r="58" spans="1:4" x14ac:dyDescent="0.25">
      <c r="A58" s="53">
        <v>364</v>
      </c>
      <c r="B58" s="58" t="s">
        <v>231</v>
      </c>
      <c r="C58" s="53" t="s">
        <v>240</v>
      </c>
      <c r="D58" s="56">
        <f>'4.1 Comptes 2020 natures'!BH48</f>
        <v>0</v>
      </c>
    </row>
    <row r="59" spans="1:4" x14ac:dyDescent="0.25">
      <c r="A59" s="53">
        <v>365</v>
      </c>
      <c r="B59" s="58" t="s">
        <v>231</v>
      </c>
      <c r="C59" s="53" t="s">
        <v>241</v>
      </c>
      <c r="D59" s="56">
        <f>'4.1 Comptes 2020 natures'!BH49</f>
        <v>0</v>
      </c>
    </row>
    <row r="60" spans="1:4" x14ac:dyDescent="0.25">
      <c r="A60" s="53">
        <v>366</v>
      </c>
      <c r="B60" s="58" t="s">
        <v>231</v>
      </c>
      <c r="C60" s="53" t="s">
        <v>238</v>
      </c>
      <c r="D60" s="56">
        <f>'4.1 Comptes 2020 natures'!BH50</f>
        <v>0</v>
      </c>
    </row>
    <row r="61" spans="1:4" x14ac:dyDescent="0.25">
      <c r="A61" s="53">
        <v>389</v>
      </c>
      <c r="B61" s="58" t="s">
        <v>231</v>
      </c>
      <c r="C61" s="53" t="s">
        <v>234</v>
      </c>
      <c r="D61" s="56">
        <f>'4.1 Comptes 2020 natures'!BH62</f>
        <v>760000</v>
      </c>
    </row>
    <row r="62" spans="1:4" x14ac:dyDescent="0.25">
      <c r="A62" s="53">
        <v>4490</v>
      </c>
      <c r="B62" s="58" t="s">
        <v>232</v>
      </c>
      <c r="C62" s="53" t="s">
        <v>242</v>
      </c>
      <c r="D62" s="56">
        <f>'4.1 Comptes 2020 natures'!BH164</f>
        <v>390</v>
      </c>
    </row>
    <row r="63" spans="1:4" x14ac:dyDescent="0.25">
      <c r="A63" s="53">
        <v>489</v>
      </c>
      <c r="B63" s="58" t="s">
        <v>232</v>
      </c>
      <c r="C63" s="53" t="s">
        <v>239</v>
      </c>
      <c r="D63" s="56">
        <f>'4.1 Comptes 2020 natures'!BH138</f>
        <v>357604.82</v>
      </c>
    </row>
    <row r="64" spans="1:4" x14ac:dyDescent="0.25">
      <c r="A64" s="53"/>
      <c r="B64" s="58"/>
      <c r="C64" s="53"/>
      <c r="D64" s="56"/>
    </row>
    <row r="65" spans="1:4" x14ac:dyDescent="0.25">
      <c r="A65" s="54"/>
      <c r="B65" s="54"/>
      <c r="C65" s="55" t="s">
        <v>235</v>
      </c>
      <c r="D65" s="62">
        <f>D54+D55+D56-D57+D58+D59+D60+D61-D62-D63</f>
        <v>8180196.0199999996</v>
      </c>
    </row>
    <row r="66" spans="1:4" x14ac:dyDescent="0.25">
      <c r="A66" s="53"/>
      <c r="B66" s="53"/>
      <c r="C66" s="53"/>
      <c r="D66" s="56"/>
    </row>
    <row r="67" spans="1:4" x14ac:dyDescent="0.25">
      <c r="A67" s="53" t="s">
        <v>230</v>
      </c>
      <c r="B67" s="59" t="s">
        <v>232</v>
      </c>
      <c r="C67" s="53" t="s">
        <v>236</v>
      </c>
      <c r="D67" s="56">
        <f>'6. Investissements'!BH182</f>
        <v>1202041.6600000011</v>
      </c>
    </row>
    <row r="68" spans="1:4" x14ac:dyDescent="0.25">
      <c r="A68" s="53"/>
      <c r="B68" s="53"/>
      <c r="C68" s="53"/>
      <c r="D68" s="56"/>
    </row>
    <row r="69" spans="1:4" x14ac:dyDescent="0.25">
      <c r="A69" s="54"/>
      <c r="B69" s="54"/>
      <c r="C69" s="55" t="s">
        <v>237</v>
      </c>
      <c r="D69" s="62">
        <f>D65-D67</f>
        <v>6978154.3599999985</v>
      </c>
    </row>
    <row r="72" spans="1:4" x14ac:dyDescent="0.25">
      <c r="A72" s="7" t="s">
        <v>216</v>
      </c>
    </row>
    <row r="73" spans="1:4" x14ac:dyDescent="0.25">
      <c r="A73" s="7" t="s">
        <v>228</v>
      </c>
    </row>
    <row r="75" spans="1:4" x14ac:dyDescent="0.25">
      <c r="A75" s="51" t="s">
        <v>229</v>
      </c>
      <c r="B75" s="51"/>
      <c r="C75" s="51" t="s">
        <v>204</v>
      </c>
      <c r="D75" s="51" t="s">
        <v>205</v>
      </c>
    </row>
    <row r="76" spans="1:4" x14ac:dyDescent="0.25">
      <c r="A76" s="53">
        <v>90</v>
      </c>
      <c r="B76" s="58"/>
      <c r="C76" s="53" t="s">
        <v>195</v>
      </c>
      <c r="D76" s="56">
        <f>'4.1 Comptes 2020 natures'!BI153</f>
        <v>2489798.14</v>
      </c>
    </row>
    <row r="77" spans="1:4" x14ac:dyDescent="0.25">
      <c r="A77" s="53">
        <v>33</v>
      </c>
      <c r="B77" s="58" t="s">
        <v>231</v>
      </c>
      <c r="C77" s="53" t="s">
        <v>98</v>
      </c>
      <c r="D77" s="56">
        <f>'4.1 Comptes 2020 natures'!BI27</f>
        <v>8454624.1900000013</v>
      </c>
    </row>
    <row r="78" spans="1:4" x14ac:dyDescent="0.25">
      <c r="A78" s="53">
        <v>35</v>
      </c>
      <c r="B78" s="58" t="s">
        <v>231</v>
      </c>
      <c r="C78" s="53" t="s">
        <v>233</v>
      </c>
      <c r="D78" s="56">
        <f>'4.1 Comptes 2020 natures'!BI39</f>
        <v>686782.18</v>
      </c>
    </row>
    <row r="79" spans="1:4" x14ac:dyDescent="0.25">
      <c r="A79" s="53">
        <v>45</v>
      </c>
      <c r="B79" s="58" t="s">
        <v>232</v>
      </c>
      <c r="C79" s="53" t="s">
        <v>174</v>
      </c>
      <c r="D79" s="56">
        <f>'4.1 Comptes 2020 natures'!BI117</f>
        <v>707380.22</v>
      </c>
    </row>
    <row r="80" spans="1:4" x14ac:dyDescent="0.25">
      <c r="A80" s="53">
        <v>364</v>
      </c>
      <c r="B80" s="58" t="s">
        <v>231</v>
      </c>
      <c r="C80" s="53" t="s">
        <v>240</v>
      </c>
      <c r="D80" s="56">
        <f>'4.1 Comptes 2020 natures'!BI48</f>
        <v>4968</v>
      </c>
    </row>
    <row r="81" spans="1:4" x14ac:dyDescent="0.25">
      <c r="A81" s="53">
        <v>365</v>
      </c>
      <c r="B81" s="58" t="s">
        <v>231</v>
      </c>
      <c r="C81" s="53" t="s">
        <v>241</v>
      </c>
      <c r="D81" s="56">
        <f>'4.1 Comptes 2020 natures'!BI49</f>
        <v>0</v>
      </c>
    </row>
    <row r="82" spans="1:4" x14ac:dyDescent="0.25">
      <c r="A82" s="53">
        <v>366</v>
      </c>
      <c r="B82" s="58" t="s">
        <v>231</v>
      </c>
      <c r="C82" s="53" t="s">
        <v>238</v>
      </c>
      <c r="D82" s="56">
        <f>'4.1 Comptes 2020 natures'!BI50</f>
        <v>0</v>
      </c>
    </row>
    <row r="83" spans="1:4" x14ac:dyDescent="0.25">
      <c r="A83" s="53">
        <v>389</v>
      </c>
      <c r="B83" s="58" t="s">
        <v>231</v>
      </c>
      <c r="C83" s="53" t="s">
        <v>234</v>
      </c>
      <c r="D83" s="56">
        <f>'4.1 Comptes 2020 natures'!BI62</f>
        <v>3507281.3200000003</v>
      </c>
    </row>
    <row r="84" spans="1:4" x14ac:dyDescent="0.25">
      <c r="A84" s="53">
        <v>4490</v>
      </c>
      <c r="B84" s="58" t="s">
        <v>232</v>
      </c>
      <c r="C84" s="53" t="s">
        <v>242</v>
      </c>
      <c r="D84" s="56">
        <f>'4.1 Comptes 2020 natures'!BI164</f>
        <v>299999</v>
      </c>
    </row>
    <row r="85" spans="1:4" x14ac:dyDescent="0.25">
      <c r="A85" s="53">
        <v>489</v>
      </c>
      <c r="B85" s="58" t="s">
        <v>232</v>
      </c>
      <c r="C85" s="53" t="s">
        <v>239</v>
      </c>
      <c r="D85" s="56">
        <f>'4.1 Comptes 2020 natures'!BI138</f>
        <v>495360</v>
      </c>
    </row>
    <row r="86" spans="1:4" x14ac:dyDescent="0.25">
      <c r="A86" s="53"/>
      <c r="B86" s="58"/>
      <c r="C86" s="53"/>
      <c r="D86" s="56"/>
    </row>
    <row r="87" spans="1:4" x14ac:dyDescent="0.25">
      <c r="A87" s="54"/>
      <c r="B87" s="54"/>
      <c r="C87" s="55" t="s">
        <v>235</v>
      </c>
      <c r="D87" s="62">
        <f>D76+D77+D78-D79+D80+D81+D82+D83-D84-D85</f>
        <v>13640714.610000001</v>
      </c>
    </row>
    <row r="88" spans="1:4" x14ac:dyDescent="0.25">
      <c r="A88" s="53"/>
      <c r="B88" s="53"/>
      <c r="C88" s="53"/>
      <c r="D88" s="56"/>
    </row>
    <row r="89" spans="1:4" x14ac:dyDescent="0.25">
      <c r="A89" s="53" t="s">
        <v>230</v>
      </c>
      <c r="B89" s="59" t="s">
        <v>232</v>
      </c>
      <c r="C89" s="53" t="s">
        <v>236</v>
      </c>
      <c r="D89" s="56">
        <f>'6. Investissements'!BI182</f>
        <v>8220941.2600000035</v>
      </c>
    </row>
    <row r="90" spans="1:4" x14ac:dyDescent="0.25">
      <c r="A90" s="53"/>
      <c r="B90" s="53"/>
      <c r="C90" s="53"/>
      <c r="D90" s="56"/>
    </row>
    <row r="91" spans="1:4" x14ac:dyDescent="0.25">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609</v>
      </c>
    </row>
    <row r="5" spans="1:5" ht="15.75" thickBot="1" x14ac:dyDescent="0.3">
      <c r="B5" s="214" t="s">
        <v>29</v>
      </c>
      <c r="C5" s="215"/>
      <c r="D5" s="216"/>
    </row>
    <row r="7" spans="1:5" x14ac:dyDescent="0.25">
      <c r="B7" s="51" t="s">
        <v>229</v>
      </c>
      <c r="C7" s="51"/>
      <c r="D7" s="51" t="s">
        <v>204</v>
      </c>
      <c r="E7" s="51" t="s">
        <v>205</v>
      </c>
    </row>
    <row r="8" spans="1:5" x14ac:dyDescent="0.25">
      <c r="B8" s="53">
        <v>90</v>
      </c>
      <c r="C8" s="58"/>
      <c r="D8" s="53" t="s">
        <v>195</v>
      </c>
      <c r="E8" s="56">
        <f>HLOOKUP($B$5,'4.1 Comptes 2020 natures'!$E$3:$BE$183,151,0)</f>
        <v>13711.05</v>
      </c>
    </row>
    <row r="9" spans="1:5" x14ac:dyDescent="0.25">
      <c r="B9" s="53">
        <v>33</v>
      </c>
      <c r="C9" s="58" t="s">
        <v>231</v>
      </c>
      <c r="D9" s="53" t="s">
        <v>98</v>
      </c>
      <c r="E9" s="56">
        <f>HLOOKUP($B$5,'4.1 Comptes 2020 natures'!$E$3:$BE$183,25,0)</f>
        <v>18600</v>
      </c>
    </row>
    <row r="10" spans="1:5" x14ac:dyDescent="0.25">
      <c r="B10" s="53">
        <v>35</v>
      </c>
      <c r="C10" s="58" t="s">
        <v>231</v>
      </c>
      <c r="D10" s="53" t="s">
        <v>233</v>
      </c>
      <c r="E10" s="56">
        <f>HLOOKUP($B$5,'4.1 Comptes 2020 natures'!$E$3:$BE$183,37,0)</f>
        <v>668.62</v>
      </c>
    </row>
    <row r="11" spans="1:5" x14ac:dyDescent="0.25">
      <c r="B11" s="53">
        <v>45</v>
      </c>
      <c r="C11" s="58" t="s">
        <v>232</v>
      </c>
      <c r="D11" s="53" t="s">
        <v>174</v>
      </c>
      <c r="E11" s="56">
        <f>HLOOKUP($B$5,'4.1 Comptes 2020 natures'!$E$3:$BE$183,115,0)</f>
        <v>329.1</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34.119999999999997</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32684.69</v>
      </c>
    </row>
    <row r="20" spans="2:5" x14ac:dyDescent="0.25">
      <c r="B20" s="53"/>
      <c r="C20" s="53"/>
      <c r="D20" s="53"/>
      <c r="E20" s="56"/>
    </row>
    <row r="21" spans="2:5" x14ac:dyDescent="0.25">
      <c r="B21" s="53" t="s">
        <v>230</v>
      </c>
      <c r="C21" s="59" t="s">
        <v>232</v>
      </c>
      <c r="D21" s="53" t="s">
        <v>236</v>
      </c>
      <c r="E21" s="56">
        <f>HLOOKUP($B$5,'4.1 Comptes 2020 natures'!$E$3:$BE$183,177,0)</f>
        <v>800</v>
      </c>
    </row>
    <row r="22" spans="2:5" x14ac:dyDescent="0.25">
      <c r="B22" s="53"/>
      <c r="C22" s="53"/>
      <c r="D22" s="53"/>
      <c r="E22" s="56"/>
    </row>
    <row r="23" spans="2:5" x14ac:dyDescent="0.25">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C4" activePane="bottomRight" state="frozen"/>
      <selection pane="topRight" activeCell="C1" sqref="C1"/>
      <selection pane="bottomLeft" activeCell="A4" sqref="A4"/>
      <selection pane="bottomRight" activeCell="A2" sqref="A2"/>
    </sheetView>
  </sheetViews>
  <sheetFormatPr baseColWidth="10" defaultRowHeight="15" x14ac:dyDescent="0.25"/>
  <cols>
    <col min="1" max="1" width="5.7109375" customWidth="1"/>
    <col min="2" max="2" width="63.5703125" customWidth="1"/>
    <col min="3" max="56" width="16.28515625" customWidth="1"/>
    <col min="57" max="59" width="17.85546875" customWidth="1"/>
  </cols>
  <sheetData>
    <row r="1" spans="1:59" ht="26.25" x14ac:dyDescent="0.4">
      <c r="A1" s="42" t="s">
        <v>306</v>
      </c>
      <c r="B1" s="7"/>
    </row>
    <row r="2" spans="1:59" x14ac:dyDescent="0.25">
      <c r="A2" t="s">
        <v>821</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7">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7">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7">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7">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652</v>
      </c>
      <c r="B1" s="7"/>
    </row>
    <row r="3" spans="1:3" ht="15.75" thickBot="1" x14ac:dyDescent="0.3"/>
    <row r="4" spans="1:3" ht="15.75" thickBot="1" x14ac:dyDescent="0.3">
      <c r="B4" s="175"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764</v>
      </c>
      <c r="C47" s="174">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B34" sqref="B34"/>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0" zoomScale="115" zoomScaleNormal="115" workbookViewId="0">
      <selection activeCell="G32" sqref="G32"/>
    </sheetView>
  </sheetViews>
  <sheetFormatPr baseColWidth="10" defaultRowHeight="15" x14ac:dyDescent="0.25"/>
  <cols>
    <col min="1" max="1" width="57" customWidth="1"/>
    <col min="2" max="2" width="22.85546875" customWidth="1"/>
  </cols>
  <sheetData>
    <row r="1" spans="1:2" x14ac:dyDescent="0.25">
      <c r="A1" s="7" t="s">
        <v>60</v>
      </c>
      <c r="B1" s="4"/>
    </row>
    <row r="2" spans="1:2" x14ac:dyDescent="0.25">
      <c r="A2" s="78" t="s">
        <v>806</v>
      </c>
      <c r="B2" s="4">
        <f>'Tableau fonctionnelle'!C7</f>
        <v>31469284.439999998</v>
      </c>
    </row>
    <row r="3" spans="1:2" x14ac:dyDescent="0.25">
      <c r="A3" s="78" t="s">
        <v>807</v>
      </c>
      <c r="B3" s="4">
        <f>'Tableau fonctionnelle'!C11</f>
        <v>11136519.650000002</v>
      </c>
    </row>
    <row r="4" spans="1:2" x14ac:dyDescent="0.25">
      <c r="A4" s="78" t="s">
        <v>808</v>
      </c>
      <c r="B4" s="4">
        <f>'Tableau fonctionnelle'!C15</f>
        <v>102323379.91000003</v>
      </c>
    </row>
    <row r="5" spans="1:2" x14ac:dyDescent="0.25">
      <c r="A5" s="78" t="s">
        <v>809</v>
      </c>
      <c r="B5" s="4">
        <f>'Tableau fonctionnelle'!C19</f>
        <v>14985535.060000002</v>
      </c>
    </row>
    <row r="6" spans="1:2" x14ac:dyDescent="0.25">
      <c r="A6" s="78" t="s">
        <v>810</v>
      </c>
      <c r="B6" s="4">
        <f>'Tableau fonctionnelle'!C23</f>
        <v>804616.3899999999</v>
      </c>
    </row>
    <row r="7" spans="1:2" x14ac:dyDescent="0.25">
      <c r="A7" s="78" t="s">
        <v>811</v>
      </c>
      <c r="B7" s="4">
        <f>'Tableau fonctionnelle'!C27</f>
        <v>91044890.049999997</v>
      </c>
    </row>
    <row r="8" spans="1:2" x14ac:dyDescent="0.25">
      <c r="A8" s="78" t="s">
        <v>812</v>
      </c>
      <c r="B8" s="4">
        <f>'Tableau fonctionnelle'!C31</f>
        <v>27784761.320000011</v>
      </c>
    </row>
    <row r="9" spans="1:2" x14ac:dyDescent="0.25">
      <c r="A9" s="78" t="s">
        <v>813</v>
      </c>
      <c r="B9" s="4">
        <f>'Tableau fonctionnelle'!C35</f>
        <v>40133119.179999992</v>
      </c>
    </row>
    <row r="10" spans="1:2" x14ac:dyDescent="0.25">
      <c r="A10" s="78" t="s">
        <v>814</v>
      </c>
      <c r="B10" s="4">
        <f>'Tableau fonctionnelle'!C39</f>
        <v>38853071.929999985</v>
      </c>
    </row>
    <row r="11" spans="1:2" x14ac:dyDescent="0.25">
      <c r="A11" s="78" t="s">
        <v>815</v>
      </c>
      <c r="B11" s="4">
        <f>'Tableau fonctionnelle'!C43</f>
        <v>42749162.500000007</v>
      </c>
    </row>
    <row r="12" spans="1:2" x14ac:dyDescent="0.25">
      <c r="B12" s="4"/>
    </row>
    <row r="13" spans="1:2" x14ac:dyDescent="0.25">
      <c r="A13" s="7" t="s">
        <v>137</v>
      </c>
      <c r="B13" s="4"/>
    </row>
    <row r="14" spans="1:2" x14ac:dyDescent="0.25">
      <c r="A14" s="78" t="s">
        <v>806</v>
      </c>
      <c r="B14" s="4">
        <f>'Tableau fonctionnelle'!C8</f>
        <v>4024189.8900000006</v>
      </c>
    </row>
    <row r="15" spans="1:2" x14ac:dyDescent="0.25">
      <c r="A15" s="78" t="s">
        <v>807</v>
      </c>
      <c r="B15" s="4">
        <f>'Tableau fonctionnelle'!C12</f>
        <v>7519359.5800000019</v>
      </c>
    </row>
    <row r="16" spans="1:2" x14ac:dyDescent="0.25">
      <c r="A16" s="78" t="s">
        <v>808</v>
      </c>
      <c r="B16" s="4">
        <f>'Tableau fonctionnelle'!C16</f>
        <v>6742848.660000002</v>
      </c>
    </row>
    <row r="17" spans="1:2" x14ac:dyDescent="0.25">
      <c r="A17" s="78" t="s">
        <v>809</v>
      </c>
      <c r="B17" s="4">
        <f>'Tableau fonctionnelle'!C20</f>
        <v>2072041.33</v>
      </c>
    </row>
    <row r="18" spans="1:2" x14ac:dyDescent="0.25">
      <c r="A18" s="78" t="s">
        <v>810</v>
      </c>
      <c r="B18" s="4">
        <f>'Tableau fonctionnelle'!C24</f>
        <v>14782.6</v>
      </c>
    </row>
    <row r="19" spans="1:2" x14ac:dyDescent="0.25">
      <c r="A19" s="78" t="s">
        <v>811</v>
      </c>
      <c r="B19" s="4">
        <f>'Tableau fonctionnelle'!C28</f>
        <v>34650660.200000003</v>
      </c>
    </row>
    <row r="20" spans="1:2" x14ac:dyDescent="0.25">
      <c r="A20" s="78" t="s">
        <v>812</v>
      </c>
      <c r="B20" s="4">
        <f>'Tableau fonctionnelle'!C32</f>
        <v>8078036.5399999991</v>
      </c>
    </row>
    <row r="21" spans="1:2" x14ac:dyDescent="0.25">
      <c r="A21" s="78" t="s">
        <v>813</v>
      </c>
      <c r="B21" s="4">
        <f>'Tableau fonctionnelle'!C36</f>
        <v>42822551.390000001</v>
      </c>
    </row>
    <row r="22" spans="1:2" x14ac:dyDescent="0.25">
      <c r="A22" s="78" t="s">
        <v>814</v>
      </c>
      <c r="B22" s="4">
        <f>'Tableau fonctionnelle'!C40</f>
        <v>39185009.339999996</v>
      </c>
    </row>
    <row r="23" spans="1:2" x14ac:dyDescent="0.25">
      <c r="A23" s="78" t="s">
        <v>815</v>
      </c>
      <c r="B23" s="4">
        <f>'Tableau fonctionnelle'!C44</f>
        <v>264468552.40999994</v>
      </c>
    </row>
    <row r="24" spans="1:2" x14ac:dyDescent="0.25">
      <c r="B24" s="4"/>
    </row>
    <row r="25" spans="1:2" x14ac:dyDescent="0.25">
      <c r="B25" s="4"/>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1" t="s">
        <v>758</v>
      </c>
      <c r="H2" s="212"/>
      <c r="I2" s="212"/>
      <c r="J2" s="212"/>
      <c r="K2" s="213"/>
      <c r="M2" s="194">
        <v>1</v>
      </c>
      <c r="N2" s="31" t="s">
        <v>52</v>
      </c>
      <c r="O2" s="32">
        <f>C34</f>
        <v>1895</v>
      </c>
    </row>
    <row r="3" spans="1:15" x14ac:dyDescent="0.2">
      <c r="A3" s="27">
        <v>2</v>
      </c>
      <c r="B3" s="28" t="s">
        <v>18</v>
      </c>
      <c r="C3" s="29">
        <v>270</v>
      </c>
      <c r="D3" s="12"/>
      <c r="M3" s="194">
        <v>2</v>
      </c>
      <c r="N3" s="31" t="s">
        <v>32</v>
      </c>
      <c r="O3" s="32">
        <f>C36</f>
        <v>1241</v>
      </c>
    </row>
    <row r="4" spans="1:15" x14ac:dyDescent="0.2">
      <c r="A4" s="27">
        <v>3</v>
      </c>
      <c r="B4" s="28" t="s">
        <v>57</v>
      </c>
      <c r="C4" s="29">
        <v>485</v>
      </c>
      <c r="D4" s="12"/>
      <c r="M4" s="194">
        <v>3</v>
      </c>
      <c r="N4" s="31" t="s">
        <v>29</v>
      </c>
      <c r="O4" s="32">
        <f>C37</f>
        <v>119</v>
      </c>
    </row>
    <row r="5" spans="1:15" x14ac:dyDescent="0.2">
      <c r="A5" s="27">
        <v>4</v>
      </c>
      <c r="B5" s="28" t="s">
        <v>53</v>
      </c>
      <c r="C5" s="29">
        <v>446</v>
      </c>
      <c r="D5" s="12"/>
      <c r="F5" s="20" t="s">
        <v>72</v>
      </c>
      <c r="M5" s="194">
        <v>4</v>
      </c>
      <c r="N5" s="28" t="s">
        <v>56</v>
      </c>
      <c r="O5" s="29">
        <f>C2</f>
        <v>923</v>
      </c>
    </row>
    <row r="6" spans="1:15" x14ac:dyDescent="0.2">
      <c r="A6" s="27">
        <v>5</v>
      </c>
      <c r="B6" s="28" t="s">
        <v>33</v>
      </c>
      <c r="C6" s="29">
        <v>3631</v>
      </c>
      <c r="D6" s="12"/>
      <c r="F6" s="22" t="s">
        <v>28</v>
      </c>
      <c r="G6" s="22"/>
      <c r="H6" s="23">
        <f>SUM(C2:C20)</f>
        <v>38954</v>
      </c>
      <c r="M6" s="194">
        <v>5</v>
      </c>
      <c r="N6" s="31" t="s">
        <v>26</v>
      </c>
      <c r="O6" s="32">
        <f>C38</f>
        <v>1195</v>
      </c>
    </row>
    <row r="7" spans="1:15" x14ac:dyDescent="0.2">
      <c r="A7" s="27">
        <v>6</v>
      </c>
      <c r="B7" s="28" t="s">
        <v>10</v>
      </c>
      <c r="C7" s="29">
        <v>3313</v>
      </c>
      <c r="D7" s="12"/>
      <c r="F7" s="34" t="s">
        <v>64</v>
      </c>
      <c r="G7" s="34"/>
      <c r="H7" s="35">
        <f>SUM(C21:C33)</f>
        <v>10479</v>
      </c>
      <c r="M7" s="194">
        <v>6</v>
      </c>
      <c r="N7" s="31" t="s">
        <v>48</v>
      </c>
      <c r="O7" s="32">
        <f>C39</f>
        <v>663</v>
      </c>
    </row>
    <row r="8" spans="1:15" x14ac:dyDescent="0.2">
      <c r="A8" s="27">
        <v>7</v>
      </c>
      <c r="B8" s="28" t="s">
        <v>15</v>
      </c>
      <c r="C8" s="29">
        <v>2644</v>
      </c>
      <c r="D8" s="12"/>
      <c r="F8" s="19" t="s">
        <v>16</v>
      </c>
      <c r="G8" s="19"/>
      <c r="H8" s="33">
        <f>SUM(C34:C54)</f>
        <v>24276</v>
      </c>
      <c r="M8" s="194">
        <v>7</v>
      </c>
      <c r="N8" s="28" t="s">
        <v>18</v>
      </c>
      <c r="O8" s="29">
        <f>C3</f>
        <v>270</v>
      </c>
    </row>
    <row r="9" spans="1:15" x14ac:dyDescent="0.2">
      <c r="A9" s="27">
        <v>8</v>
      </c>
      <c r="B9" s="28" t="s">
        <v>28</v>
      </c>
      <c r="C9" s="30">
        <v>12618</v>
      </c>
      <c r="D9" s="12"/>
      <c r="H9" s="21">
        <f>SUM(H6:H8)</f>
        <v>73709</v>
      </c>
      <c r="M9" s="194">
        <v>8</v>
      </c>
      <c r="N9" s="31" t="s">
        <v>44</v>
      </c>
      <c r="O9" s="32">
        <f>C40</f>
        <v>645</v>
      </c>
    </row>
    <row r="10" spans="1:15" x14ac:dyDescent="0.2">
      <c r="A10" s="27">
        <v>9</v>
      </c>
      <c r="B10" s="28" t="s">
        <v>42</v>
      </c>
      <c r="C10" s="30">
        <v>1371</v>
      </c>
      <c r="D10" s="12"/>
      <c r="M10" s="194">
        <v>9</v>
      </c>
      <c r="N10" s="28" t="s">
        <v>57</v>
      </c>
      <c r="O10" s="29">
        <f>C4</f>
        <v>485</v>
      </c>
    </row>
    <row r="11" spans="1:15" x14ac:dyDescent="0.2">
      <c r="A11" s="27">
        <v>10</v>
      </c>
      <c r="B11" s="28" t="s">
        <v>23</v>
      </c>
      <c r="C11" s="30">
        <v>118</v>
      </c>
      <c r="D11" s="17"/>
      <c r="M11" s="194">
        <v>10</v>
      </c>
      <c r="N11" s="31" t="s">
        <v>37</v>
      </c>
      <c r="O11" s="32">
        <f>C41</f>
        <v>1263</v>
      </c>
    </row>
    <row r="12" spans="1:15" x14ac:dyDescent="0.2">
      <c r="A12" s="27">
        <v>11</v>
      </c>
      <c r="B12" s="28" t="s">
        <v>22</v>
      </c>
      <c r="C12" s="30">
        <v>7167</v>
      </c>
      <c r="D12" s="17"/>
      <c r="M12" s="194">
        <v>11</v>
      </c>
      <c r="N12" s="31" t="s">
        <v>51</v>
      </c>
      <c r="O12" s="32">
        <f>C42</f>
        <v>740</v>
      </c>
    </row>
    <row r="13" spans="1:15" x14ac:dyDescent="0.2">
      <c r="A13" s="27">
        <v>12</v>
      </c>
      <c r="B13" s="28" t="s">
        <v>13</v>
      </c>
      <c r="C13" s="30">
        <v>528</v>
      </c>
      <c r="D13" s="17"/>
      <c r="M13" s="194">
        <v>12</v>
      </c>
      <c r="N13" s="31" t="s">
        <v>8</v>
      </c>
      <c r="O13" s="32">
        <f>C43</f>
        <v>1028</v>
      </c>
    </row>
    <row r="14" spans="1:15" x14ac:dyDescent="0.2">
      <c r="A14" s="27">
        <v>13</v>
      </c>
      <c r="B14" s="28" t="s">
        <v>17</v>
      </c>
      <c r="C14" s="30">
        <v>108</v>
      </c>
      <c r="D14" s="17"/>
      <c r="M14" s="194">
        <v>13</v>
      </c>
      <c r="N14" s="28" t="s">
        <v>53</v>
      </c>
      <c r="O14" s="29">
        <f>C5</f>
        <v>446</v>
      </c>
    </row>
    <row r="15" spans="1:15" x14ac:dyDescent="0.2">
      <c r="A15" s="27">
        <v>14</v>
      </c>
      <c r="B15" s="28" t="s">
        <v>43</v>
      </c>
      <c r="C15" s="30">
        <v>415</v>
      </c>
      <c r="D15" s="17"/>
      <c r="M15" s="194">
        <v>14</v>
      </c>
      <c r="N15" s="31" t="s">
        <v>24</v>
      </c>
      <c r="O15" s="32">
        <f>C44</f>
        <v>314</v>
      </c>
    </row>
    <row r="16" spans="1:15" x14ac:dyDescent="0.2">
      <c r="A16" s="27">
        <v>15</v>
      </c>
      <c r="B16" s="28" t="s">
        <v>40</v>
      </c>
      <c r="C16" s="30">
        <v>349</v>
      </c>
      <c r="D16" s="17"/>
      <c r="M16" s="194">
        <v>15</v>
      </c>
      <c r="N16" s="31" t="s">
        <v>9</v>
      </c>
      <c r="O16" s="32">
        <f>C45</f>
        <v>2400</v>
      </c>
    </row>
    <row r="17" spans="1:15" x14ac:dyDescent="0.2">
      <c r="A17" s="27">
        <v>16</v>
      </c>
      <c r="B17" s="28" t="s">
        <v>31</v>
      </c>
      <c r="C17" s="30">
        <v>687</v>
      </c>
      <c r="D17" s="17"/>
      <c r="M17" s="194">
        <v>16</v>
      </c>
      <c r="N17" s="28" t="s">
        <v>33</v>
      </c>
      <c r="O17" s="29">
        <f>C6</f>
        <v>3631</v>
      </c>
    </row>
    <row r="18" spans="1:15" x14ac:dyDescent="0.2">
      <c r="A18" s="27">
        <v>17</v>
      </c>
      <c r="B18" s="28" t="s">
        <v>12</v>
      </c>
      <c r="C18" s="30">
        <v>255</v>
      </c>
      <c r="D18" s="17"/>
      <c r="M18" s="194">
        <v>17</v>
      </c>
      <c r="N18" s="28" t="s">
        <v>10</v>
      </c>
      <c r="O18" s="29">
        <f>C7</f>
        <v>3313</v>
      </c>
    </row>
    <row r="19" spans="1:15" x14ac:dyDescent="0.2">
      <c r="A19" s="27">
        <v>18</v>
      </c>
      <c r="B19" s="28" t="s">
        <v>59</v>
      </c>
      <c r="C19" s="30">
        <v>436</v>
      </c>
      <c r="D19" s="17"/>
      <c r="M19" s="194">
        <v>18</v>
      </c>
      <c r="N19" s="31" t="s">
        <v>62</v>
      </c>
      <c r="O19" s="32">
        <f>C46</f>
        <v>755</v>
      </c>
    </row>
    <row r="20" spans="1:15" x14ac:dyDescent="0.2">
      <c r="A20" s="27">
        <v>19</v>
      </c>
      <c r="B20" s="28" t="s">
        <v>27</v>
      </c>
      <c r="C20" s="30">
        <v>3190</v>
      </c>
      <c r="D20" s="17"/>
      <c r="M20" s="194">
        <v>19</v>
      </c>
      <c r="N20" s="28" t="s">
        <v>15</v>
      </c>
      <c r="O20" s="29">
        <f>C8</f>
        <v>2644</v>
      </c>
    </row>
    <row r="21" spans="1:15" x14ac:dyDescent="0.2">
      <c r="A21" s="24">
        <v>20</v>
      </c>
      <c r="B21" s="25" t="s">
        <v>30</v>
      </c>
      <c r="C21" s="26">
        <v>324</v>
      </c>
      <c r="D21" s="17"/>
      <c r="M21" s="194">
        <v>20</v>
      </c>
      <c r="N21" s="31" t="s">
        <v>46</v>
      </c>
      <c r="O21" s="32">
        <f>C47</f>
        <v>181</v>
      </c>
    </row>
    <row r="22" spans="1:15" x14ac:dyDescent="0.2">
      <c r="A22" s="24">
        <v>21</v>
      </c>
      <c r="B22" s="25" t="s">
        <v>20</v>
      </c>
      <c r="C22" s="26">
        <v>1246</v>
      </c>
      <c r="D22" s="17"/>
      <c r="M22" s="194">
        <v>21</v>
      </c>
      <c r="N22" s="28" t="s">
        <v>28</v>
      </c>
      <c r="O22" s="30">
        <f>C9</f>
        <v>12618</v>
      </c>
    </row>
    <row r="23" spans="1:15" x14ac:dyDescent="0.2">
      <c r="A23" s="24">
        <v>22</v>
      </c>
      <c r="B23" s="25" t="s">
        <v>45</v>
      </c>
      <c r="C23" s="26">
        <v>1528</v>
      </c>
      <c r="D23" s="17"/>
      <c r="E23" s="12"/>
      <c r="M23" s="194">
        <v>22</v>
      </c>
      <c r="N23" s="28" t="s">
        <v>42</v>
      </c>
      <c r="O23" s="30">
        <f>C10</f>
        <v>1371</v>
      </c>
    </row>
    <row r="24" spans="1:15" x14ac:dyDescent="0.2">
      <c r="A24" s="24">
        <v>23</v>
      </c>
      <c r="B24" s="25" t="s">
        <v>71</v>
      </c>
      <c r="C24" s="26">
        <v>96</v>
      </c>
      <c r="D24" s="17"/>
      <c r="M24" s="194">
        <v>23</v>
      </c>
      <c r="N24" s="28" t="s">
        <v>23</v>
      </c>
      <c r="O24" s="30">
        <f>C11</f>
        <v>118</v>
      </c>
    </row>
    <row r="25" spans="1:15" x14ac:dyDescent="0.2">
      <c r="A25" s="24">
        <v>24</v>
      </c>
      <c r="B25" s="25" t="s">
        <v>39</v>
      </c>
      <c r="C25" s="26">
        <v>149</v>
      </c>
      <c r="D25" s="17"/>
      <c r="M25" s="194">
        <v>24</v>
      </c>
      <c r="N25" s="31" t="s">
        <v>35</v>
      </c>
      <c r="O25" s="32">
        <f>C48</f>
        <v>347</v>
      </c>
    </row>
    <row r="26" spans="1:15" x14ac:dyDescent="0.2">
      <c r="A26" s="24">
        <v>25</v>
      </c>
      <c r="B26" s="25" t="s">
        <v>19</v>
      </c>
      <c r="C26" s="26">
        <v>516</v>
      </c>
      <c r="D26" s="17"/>
      <c r="M26" s="194">
        <v>25</v>
      </c>
      <c r="N26" s="31" t="s">
        <v>49</v>
      </c>
      <c r="O26" s="32">
        <f>C49</f>
        <v>1690</v>
      </c>
    </row>
    <row r="27" spans="1:15" x14ac:dyDescent="0.2">
      <c r="A27" s="24">
        <v>26</v>
      </c>
      <c r="B27" s="25" t="s">
        <v>41</v>
      </c>
      <c r="C27" s="26">
        <v>671</v>
      </c>
      <c r="D27" s="17"/>
      <c r="M27" s="194">
        <v>26</v>
      </c>
      <c r="N27" s="31" t="s">
        <v>47</v>
      </c>
      <c r="O27" s="32">
        <f>C50</f>
        <v>387</v>
      </c>
    </row>
    <row r="28" spans="1:15" x14ac:dyDescent="0.2">
      <c r="A28" s="24">
        <v>27</v>
      </c>
      <c r="B28" s="25" t="s">
        <v>36</v>
      </c>
      <c r="C28" s="26">
        <v>572</v>
      </c>
      <c r="D28" s="17"/>
      <c r="M28" s="194">
        <v>27</v>
      </c>
      <c r="N28" s="31" t="s">
        <v>58</v>
      </c>
      <c r="O28" s="32">
        <f>C51</f>
        <v>1096</v>
      </c>
    </row>
    <row r="29" spans="1:15" x14ac:dyDescent="0.2">
      <c r="A29" s="24">
        <v>28</v>
      </c>
      <c r="B29" s="25" t="s">
        <v>7</v>
      </c>
      <c r="C29" s="26">
        <v>490</v>
      </c>
      <c r="D29" s="17"/>
      <c r="M29" s="194">
        <v>28</v>
      </c>
      <c r="N29" s="28" t="s">
        <v>22</v>
      </c>
      <c r="O29" s="30">
        <f>C12</f>
        <v>7167</v>
      </c>
    </row>
    <row r="30" spans="1:15" x14ac:dyDescent="0.2">
      <c r="A30" s="24">
        <v>29</v>
      </c>
      <c r="B30" s="25" t="s">
        <v>55</v>
      </c>
      <c r="C30" s="26">
        <v>1914</v>
      </c>
      <c r="D30" s="17"/>
      <c r="M30" s="194">
        <v>29</v>
      </c>
      <c r="N30" s="31" t="s">
        <v>14</v>
      </c>
      <c r="O30" s="32">
        <f>C35</f>
        <v>1135</v>
      </c>
    </row>
    <row r="31" spans="1:15" x14ac:dyDescent="0.2">
      <c r="A31" s="24">
        <v>30</v>
      </c>
      <c r="B31" s="25" t="s">
        <v>21</v>
      </c>
      <c r="C31" s="26">
        <v>2615</v>
      </c>
      <c r="D31" s="17"/>
      <c r="M31" s="194">
        <v>30</v>
      </c>
      <c r="N31" s="25" t="s">
        <v>71</v>
      </c>
      <c r="O31" s="26">
        <f>C24</f>
        <v>96</v>
      </c>
    </row>
    <row r="32" spans="1:15" x14ac:dyDescent="0.2">
      <c r="A32" s="24">
        <v>31</v>
      </c>
      <c r="B32" s="25" t="s">
        <v>6</v>
      </c>
      <c r="C32" s="26">
        <v>227</v>
      </c>
      <c r="D32" s="17"/>
      <c r="M32" s="194">
        <v>31</v>
      </c>
      <c r="N32" s="25" t="s">
        <v>41</v>
      </c>
      <c r="O32" s="26">
        <f>C27</f>
        <v>671</v>
      </c>
    </row>
    <row r="33" spans="1:15" x14ac:dyDescent="0.2">
      <c r="A33" s="24">
        <v>32</v>
      </c>
      <c r="B33" s="25" t="s">
        <v>34</v>
      </c>
      <c r="C33" s="26">
        <v>131</v>
      </c>
      <c r="D33" s="17"/>
      <c r="M33" s="194">
        <v>32</v>
      </c>
      <c r="N33" s="25" t="s">
        <v>30</v>
      </c>
      <c r="O33" s="26">
        <f>C21</f>
        <v>324</v>
      </c>
    </row>
    <row r="34" spans="1:15" x14ac:dyDescent="0.2">
      <c r="A34" s="19">
        <v>33</v>
      </c>
      <c r="B34" s="31" t="s">
        <v>52</v>
      </c>
      <c r="C34" s="32">
        <v>1895</v>
      </c>
      <c r="D34" s="17"/>
      <c r="M34" s="194">
        <v>33</v>
      </c>
      <c r="N34" s="25" t="s">
        <v>55</v>
      </c>
      <c r="O34" s="26">
        <f>C30</f>
        <v>1914</v>
      </c>
    </row>
    <row r="35" spans="1:15" x14ac:dyDescent="0.2">
      <c r="A35" s="19">
        <v>34</v>
      </c>
      <c r="B35" s="31" t="s">
        <v>14</v>
      </c>
      <c r="C35" s="32">
        <v>1135</v>
      </c>
      <c r="D35" s="17"/>
      <c r="M35" s="194">
        <v>34</v>
      </c>
      <c r="N35" s="25" t="s">
        <v>20</v>
      </c>
      <c r="O35" s="26">
        <f>C22</f>
        <v>1246</v>
      </c>
    </row>
    <row r="36" spans="1:15" x14ac:dyDescent="0.2">
      <c r="A36" s="19">
        <v>35</v>
      </c>
      <c r="B36" s="31" t="s">
        <v>32</v>
      </c>
      <c r="C36" s="32">
        <v>1241</v>
      </c>
      <c r="D36" s="17"/>
      <c r="E36" s="12"/>
      <c r="M36" s="194">
        <v>35</v>
      </c>
      <c r="N36" s="25" t="s">
        <v>45</v>
      </c>
      <c r="O36" s="26">
        <f>C23</f>
        <v>1528</v>
      </c>
    </row>
    <row r="37" spans="1:15" x14ac:dyDescent="0.2">
      <c r="A37" s="19">
        <v>36</v>
      </c>
      <c r="B37" s="31" t="s">
        <v>29</v>
      </c>
      <c r="C37" s="32">
        <v>119</v>
      </c>
      <c r="D37" s="17"/>
      <c r="M37" s="194">
        <v>36</v>
      </c>
      <c r="N37" s="25" t="s">
        <v>39</v>
      </c>
      <c r="O37" s="26">
        <f>C25</f>
        <v>149</v>
      </c>
    </row>
    <row r="38" spans="1:15" x14ac:dyDescent="0.2">
      <c r="A38" s="19">
        <v>37</v>
      </c>
      <c r="B38" s="31" t="s">
        <v>26</v>
      </c>
      <c r="C38" s="32">
        <v>1195</v>
      </c>
      <c r="D38" s="17"/>
      <c r="M38" s="194">
        <v>37</v>
      </c>
      <c r="N38" s="25" t="s">
        <v>19</v>
      </c>
      <c r="O38" s="26">
        <f>C26</f>
        <v>516</v>
      </c>
    </row>
    <row r="39" spans="1:15" x14ac:dyDescent="0.2">
      <c r="A39" s="19">
        <v>38</v>
      </c>
      <c r="B39" s="31" t="s">
        <v>48</v>
      </c>
      <c r="C39" s="32">
        <v>663</v>
      </c>
      <c r="D39" s="17"/>
      <c r="M39" s="194">
        <v>38</v>
      </c>
      <c r="N39" s="31" t="s">
        <v>50</v>
      </c>
      <c r="O39" s="16">
        <f>C52</f>
        <v>188</v>
      </c>
    </row>
    <row r="40" spans="1:15" x14ac:dyDescent="0.2">
      <c r="A40" s="19">
        <v>39</v>
      </c>
      <c r="B40" s="31" t="s">
        <v>44</v>
      </c>
      <c r="C40" s="32">
        <v>645</v>
      </c>
      <c r="D40" s="17"/>
      <c r="M40" s="194">
        <v>39</v>
      </c>
      <c r="N40" s="28" t="s">
        <v>13</v>
      </c>
      <c r="O40" s="30">
        <f>C13</f>
        <v>528</v>
      </c>
    </row>
    <row r="41" spans="1:15" x14ac:dyDescent="0.2">
      <c r="A41" s="19">
        <v>40</v>
      </c>
      <c r="B41" s="31" t="s">
        <v>37</v>
      </c>
      <c r="C41" s="32">
        <v>1263</v>
      </c>
      <c r="D41" s="17"/>
      <c r="M41" s="194">
        <v>40</v>
      </c>
      <c r="N41" s="28" t="s">
        <v>17</v>
      </c>
      <c r="O41" s="30">
        <f>C14</f>
        <v>108</v>
      </c>
    </row>
    <row r="42" spans="1:15" x14ac:dyDescent="0.2">
      <c r="A42" s="19">
        <v>41</v>
      </c>
      <c r="B42" s="31" t="s">
        <v>51</v>
      </c>
      <c r="C42" s="32">
        <v>740</v>
      </c>
      <c r="D42" s="17"/>
      <c r="M42" s="194">
        <v>41</v>
      </c>
      <c r="N42" s="25" t="s">
        <v>36</v>
      </c>
      <c r="O42" s="26">
        <f>C28</f>
        <v>572</v>
      </c>
    </row>
    <row r="43" spans="1:15" x14ac:dyDescent="0.2">
      <c r="A43" s="19">
        <v>42</v>
      </c>
      <c r="B43" s="31" t="s">
        <v>8</v>
      </c>
      <c r="C43" s="32">
        <v>1028</v>
      </c>
      <c r="D43" s="17"/>
      <c r="M43" s="194">
        <v>42</v>
      </c>
      <c r="N43" s="28" t="s">
        <v>43</v>
      </c>
      <c r="O43" s="30">
        <f>C15</f>
        <v>415</v>
      </c>
    </row>
    <row r="44" spans="1:15" x14ac:dyDescent="0.2">
      <c r="A44" s="19">
        <v>43</v>
      </c>
      <c r="B44" s="31" t="s">
        <v>24</v>
      </c>
      <c r="C44" s="32">
        <v>314</v>
      </c>
      <c r="D44" s="17"/>
      <c r="M44" s="194">
        <v>43</v>
      </c>
      <c r="N44" s="25" t="s">
        <v>7</v>
      </c>
      <c r="O44" s="26">
        <f>C29</f>
        <v>490</v>
      </c>
    </row>
    <row r="45" spans="1:15" x14ac:dyDescent="0.2">
      <c r="A45" s="19">
        <v>44</v>
      </c>
      <c r="B45" s="31" t="s">
        <v>9</v>
      </c>
      <c r="C45" s="32">
        <v>2400</v>
      </c>
      <c r="D45" s="17"/>
      <c r="M45" s="194">
        <v>44</v>
      </c>
      <c r="N45" s="28" t="s">
        <v>40</v>
      </c>
      <c r="O45" s="30">
        <f>C16</f>
        <v>349</v>
      </c>
    </row>
    <row r="46" spans="1:15" x14ac:dyDescent="0.2">
      <c r="A46" s="19">
        <v>45</v>
      </c>
      <c r="B46" s="31" t="s">
        <v>62</v>
      </c>
      <c r="C46" s="32">
        <v>755</v>
      </c>
      <c r="D46" s="17"/>
      <c r="M46" s="194">
        <v>45</v>
      </c>
      <c r="N46" s="31" t="s">
        <v>16</v>
      </c>
      <c r="O46" s="16">
        <f>C53</f>
        <v>6434</v>
      </c>
    </row>
    <row r="47" spans="1:15" x14ac:dyDescent="0.2">
      <c r="A47" s="19">
        <v>46</v>
      </c>
      <c r="B47" s="31" t="s">
        <v>46</v>
      </c>
      <c r="C47" s="32">
        <v>181</v>
      </c>
      <c r="D47" s="17"/>
      <c r="M47" s="194">
        <v>46</v>
      </c>
      <c r="N47" s="28" t="s">
        <v>31</v>
      </c>
      <c r="O47" s="30">
        <f>C17</f>
        <v>687</v>
      </c>
    </row>
    <row r="48" spans="1:15" x14ac:dyDescent="0.2">
      <c r="A48" s="19">
        <v>47</v>
      </c>
      <c r="B48" s="31" t="s">
        <v>35</v>
      </c>
      <c r="C48" s="32">
        <v>347</v>
      </c>
      <c r="D48" s="17"/>
      <c r="M48" s="194">
        <v>47</v>
      </c>
      <c r="N48" s="25" t="s">
        <v>21</v>
      </c>
      <c r="O48" s="26">
        <f>C31</f>
        <v>2615</v>
      </c>
    </row>
    <row r="49" spans="1:15" x14ac:dyDescent="0.2">
      <c r="A49" s="19">
        <v>48</v>
      </c>
      <c r="B49" s="31" t="s">
        <v>49</v>
      </c>
      <c r="C49" s="32">
        <v>1690</v>
      </c>
      <c r="D49" s="17"/>
      <c r="M49" s="194">
        <v>48</v>
      </c>
      <c r="N49" s="25" t="s">
        <v>6</v>
      </c>
      <c r="O49" s="26">
        <f>C32</f>
        <v>227</v>
      </c>
    </row>
    <row r="50" spans="1:15" x14ac:dyDescent="0.2">
      <c r="A50" s="19">
        <v>49</v>
      </c>
      <c r="B50" s="31" t="s">
        <v>47</v>
      </c>
      <c r="C50" s="32">
        <v>387</v>
      </c>
      <c r="D50" s="17"/>
      <c r="M50" s="194">
        <v>49</v>
      </c>
      <c r="N50" s="28" t="s">
        <v>12</v>
      </c>
      <c r="O50" s="30">
        <f>C18</f>
        <v>255</v>
      </c>
    </row>
    <row r="51" spans="1:15" x14ac:dyDescent="0.2">
      <c r="A51" s="19">
        <v>50</v>
      </c>
      <c r="B51" s="31" t="s">
        <v>58</v>
      </c>
      <c r="C51" s="32">
        <v>1096</v>
      </c>
      <c r="D51" s="17"/>
      <c r="M51" s="194">
        <v>50</v>
      </c>
      <c r="N51" s="25" t="s">
        <v>34</v>
      </c>
      <c r="O51" s="26">
        <f>C33</f>
        <v>131</v>
      </c>
    </row>
    <row r="52" spans="1:15" x14ac:dyDescent="0.2">
      <c r="A52" s="19">
        <v>51</v>
      </c>
      <c r="B52" s="31" t="s">
        <v>50</v>
      </c>
      <c r="C52" s="16">
        <v>188</v>
      </c>
      <c r="D52" s="17"/>
      <c r="M52" s="194">
        <v>51</v>
      </c>
      <c r="N52" s="28" t="s">
        <v>59</v>
      </c>
      <c r="O52" s="30">
        <f>C19</f>
        <v>436</v>
      </c>
    </row>
    <row r="53" spans="1:15" x14ac:dyDescent="0.2">
      <c r="A53" s="19">
        <v>52</v>
      </c>
      <c r="B53" s="31" t="s">
        <v>16</v>
      </c>
      <c r="C53" s="16">
        <v>6434</v>
      </c>
      <c r="D53" s="17"/>
      <c r="M53" s="194">
        <v>52</v>
      </c>
      <c r="N53" s="28" t="s">
        <v>27</v>
      </c>
      <c r="O53" s="30">
        <f>C20</f>
        <v>3190</v>
      </c>
    </row>
    <row r="54" spans="1:15" x14ac:dyDescent="0.2">
      <c r="A54" s="19">
        <v>53</v>
      </c>
      <c r="B54" s="31" t="s">
        <v>25</v>
      </c>
      <c r="C54" s="33">
        <v>560</v>
      </c>
      <c r="D54" s="17"/>
      <c r="M54" s="194">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K199" activePane="bottomRight" state="frozen"/>
      <selection pane="topRight" activeCell="E1" sqref="E1"/>
      <selection pane="bottomLeft" activeCell="A4" sqref="A4"/>
      <selection pane="bottomRight" activeCell="A2" sqref="A2"/>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x14ac:dyDescent="0.25">
      <c r="A2" t="s">
        <v>821</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25">
      <c r="D82" s="79">
        <v>1427</v>
      </c>
      <c r="E82" s="79" t="s">
        <v>593</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25">
      <c r="D83" s="79">
        <v>1429</v>
      </c>
      <c r="E83" s="79" t="s">
        <v>476</v>
      </c>
      <c r="F83" s="4">
        <v>0</v>
      </c>
      <c r="G83" s="4">
        <v>120546.95</v>
      </c>
      <c r="H83" s="4">
        <v>19211.3</v>
      </c>
      <c r="I83" s="197">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1">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4">
        <f t="shared" si="43"/>
        <v>2257613.4299999992</v>
      </c>
      <c r="BH216" s="204">
        <f t="shared" si="44"/>
        <v>-1986621.7200000004</v>
      </c>
      <c r="BI216" s="204">
        <f t="shared" si="45"/>
        <v>3830148.2800000003</v>
      </c>
      <c r="BJ216" s="204">
        <f t="shared" si="46"/>
        <v>414086.86999999994</v>
      </c>
    </row>
    <row r="217" spans="3:62" x14ac:dyDescent="0.25">
      <c r="D217">
        <v>2999</v>
      </c>
      <c r="E217" t="s">
        <v>595</v>
      </c>
      <c r="F217" s="101">
        <v>2018169.55</v>
      </c>
      <c r="G217" s="101">
        <v>48554.54</v>
      </c>
      <c r="H217" s="101">
        <v>306794.81</v>
      </c>
      <c r="I217" s="101">
        <v>96779.49</v>
      </c>
      <c r="J217" s="101">
        <v>5070297.62</v>
      </c>
      <c r="K217" s="101">
        <v>828373.07</v>
      </c>
      <c r="L217" s="101">
        <v>2779294.07</v>
      </c>
      <c r="M217" s="101">
        <v>3942070.43</v>
      </c>
      <c r="N217" s="101">
        <v>1132472.24</v>
      </c>
      <c r="O217" s="101">
        <v>622462.23</v>
      </c>
      <c r="P217" s="199">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4">
        <f t="shared" si="43"/>
        <v>85593122.990000024</v>
      </c>
      <c r="BH217" s="204">
        <f t="shared" si="44"/>
        <v>21034620.32</v>
      </c>
      <c r="BI217" s="204">
        <f t="shared" si="45"/>
        <v>25511532.739999998</v>
      </c>
      <c r="BJ217" s="204">
        <f t="shared" si="46"/>
        <v>39046969.929999992</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605</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604</v>
      </c>
      <c r="F223" s="182">
        <f>F220+F221</f>
        <v>338069</v>
      </c>
      <c r="G223" s="182">
        <f t="shared" ref="G223:BJ223" si="53">G220+G221</f>
        <v>183367.53000000003</v>
      </c>
      <c r="H223" s="182">
        <f t="shared" si="53"/>
        <v>-29321.279999999999</v>
      </c>
      <c r="I223" s="182">
        <f t="shared" si="53"/>
        <v>35050.58</v>
      </c>
      <c r="J223" s="182">
        <f t="shared" si="53"/>
        <v>461623.62999999995</v>
      </c>
      <c r="K223" s="182">
        <f t="shared" si="53"/>
        <v>1051215.94</v>
      </c>
      <c r="L223" s="182">
        <f t="shared" si="53"/>
        <v>253856.48</v>
      </c>
      <c r="M223" s="182">
        <f t="shared" si="53"/>
        <v>2089673.1800000002</v>
      </c>
      <c r="N223" s="182">
        <f t="shared" si="53"/>
        <v>-1352.8600000000151</v>
      </c>
      <c r="O223" s="182">
        <f t="shared" si="53"/>
        <v>-63918.92</v>
      </c>
      <c r="P223" s="182">
        <f t="shared" si="53"/>
        <v>-1177403.47</v>
      </c>
      <c r="Q223" s="182">
        <f t="shared" si="53"/>
        <v>-93731.8</v>
      </c>
      <c r="R223" s="182">
        <f t="shared" si="53"/>
        <v>-9460.8100000000013</v>
      </c>
      <c r="S223" s="182">
        <f t="shared" si="53"/>
        <v>-16853.579999999998</v>
      </c>
      <c r="T223" s="182">
        <f t="shared" si="53"/>
        <v>-13071.369999999995</v>
      </c>
      <c r="U223" s="182">
        <f t="shared" si="53"/>
        <v>262757.42</v>
      </c>
      <c r="V223" s="182">
        <f t="shared" si="53"/>
        <v>9048.7099999999991</v>
      </c>
      <c r="W223" s="182">
        <f t="shared" si="53"/>
        <v>-152377.16</v>
      </c>
      <c r="X223" s="182">
        <f t="shared" si="53"/>
        <v>364711.41000000003</v>
      </c>
      <c r="Y223" s="182">
        <f t="shared" si="53"/>
        <v>26286.14</v>
      </c>
      <c r="Z223" s="182">
        <f t="shared" si="53"/>
        <v>178997.68</v>
      </c>
      <c r="AA223" s="182">
        <f t="shared" si="53"/>
        <v>3517719.9899999998</v>
      </c>
      <c r="AB223" s="182">
        <f t="shared" si="53"/>
        <v>-11170.27</v>
      </c>
      <c r="AC223" s="182">
        <f t="shared" si="53"/>
        <v>41421.78</v>
      </c>
      <c r="AD223" s="182">
        <f t="shared" si="53"/>
        <v>-114596.97</v>
      </c>
      <c r="AE223" s="182">
        <f t="shared" si="53"/>
        <v>-99000.459999999992</v>
      </c>
      <c r="AF223" s="182">
        <f t="shared" si="53"/>
        <v>-194273.68</v>
      </c>
      <c r="AG223" s="182">
        <f t="shared" si="53"/>
        <v>122538.76</v>
      </c>
      <c r="AH223" s="182">
        <f t="shared" si="53"/>
        <v>1107210.3</v>
      </c>
      <c r="AI223" s="182">
        <f t="shared" si="53"/>
        <v>243887.35</v>
      </c>
      <c r="AJ223" s="182">
        <f t="shared" si="53"/>
        <v>-60989.77</v>
      </c>
      <c r="AK223" s="182">
        <f t="shared" si="53"/>
        <v>22586.400000000001</v>
      </c>
      <c r="AL223" s="182">
        <f t="shared" si="53"/>
        <v>153720</v>
      </c>
      <c r="AM223" s="182">
        <f t="shared" si="53"/>
        <v>-32824.589999999997</v>
      </c>
      <c r="AN223" s="182">
        <f t="shared" si="53"/>
        <v>-5589.7700000000041</v>
      </c>
      <c r="AO223" s="182">
        <f t="shared" si="53"/>
        <v>13711.05</v>
      </c>
      <c r="AP223" s="182">
        <f t="shared" si="53"/>
        <v>341994.52</v>
      </c>
      <c r="AQ223" s="182">
        <f t="shared" si="53"/>
        <v>197653.74000000002</v>
      </c>
      <c r="AR223" s="182">
        <f t="shared" si="53"/>
        <v>23915.769999999997</v>
      </c>
      <c r="AS223" s="182">
        <f t="shared" si="53"/>
        <v>50671.79</v>
      </c>
      <c r="AT223" s="182">
        <f t="shared" si="53"/>
        <v>16082.760000000002</v>
      </c>
      <c r="AU223" s="182">
        <f t="shared" si="53"/>
        <v>35118.03</v>
      </c>
      <c r="AV223" s="182">
        <f t="shared" si="53"/>
        <v>112815.42</v>
      </c>
      <c r="AW223" s="182">
        <f t="shared" si="53"/>
        <v>-268507.58</v>
      </c>
      <c r="AX223" s="182">
        <f t="shared" si="53"/>
        <v>-9064.0300000000025</v>
      </c>
      <c r="AY223" s="182">
        <f t="shared" si="53"/>
        <v>29819.599999999999</v>
      </c>
      <c r="AZ223" s="182">
        <f t="shared" si="53"/>
        <v>73689.049999999988</v>
      </c>
      <c r="BA223" s="182">
        <f t="shared" si="53"/>
        <v>79042.83</v>
      </c>
      <c r="BB223" s="182">
        <f t="shared" si="53"/>
        <v>160878.04999999999</v>
      </c>
      <c r="BC223" s="182">
        <f t="shared" si="53"/>
        <v>192186.95</v>
      </c>
      <c r="BD223" s="182">
        <f t="shared" si="53"/>
        <v>-12634.7</v>
      </c>
      <c r="BE223" s="182">
        <f t="shared" si="53"/>
        <v>1253727.51</v>
      </c>
      <c r="BF223" s="182">
        <f t="shared" si="53"/>
        <v>67948.679999999993</v>
      </c>
      <c r="BG223" s="182">
        <f t="shared" si="53"/>
        <v>10746854.960000003</v>
      </c>
      <c r="BH223" s="182">
        <f t="shared" si="53"/>
        <v>3491882.63</v>
      </c>
      <c r="BI223" s="182">
        <f t="shared" si="53"/>
        <v>4780617.25</v>
      </c>
      <c r="BJ223" s="182">
        <f t="shared" si="53"/>
        <v>2474355.08</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G15" sqref="G15"/>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HLOOKUP($E$4,'5.1 Bilan'!$F$3:$BF$226,2,0)</f>
        <v>6103718.5500000007</v>
      </c>
    </row>
    <row r="8" spans="1:6" x14ac:dyDescent="0.25">
      <c r="A8" s="78"/>
      <c r="B8" s="74">
        <v>10</v>
      </c>
      <c r="C8" s="74"/>
      <c r="D8" s="74"/>
      <c r="E8" s="74" t="s">
        <v>247</v>
      </c>
      <c r="F8" s="75">
        <f>HLOOKUP($E$4,'5.1 Bilan'!$F$3:$BF$226,3,0)</f>
        <v>2569790.9000000004</v>
      </c>
    </row>
    <row r="9" spans="1:6" x14ac:dyDescent="0.25">
      <c r="A9" s="79"/>
      <c r="B9" s="79"/>
      <c r="C9" s="69">
        <v>100</v>
      </c>
      <c r="D9" s="69"/>
      <c r="E9" s="69" t="s">
        <v>248</v>
      </c>
      <c r="F9" s="177">
        <f>SUM(F10:F15)</f>
        <v>1011017.67</v>
      </c>
    </row>
    <row r="10" spans="1:6" x14ac:dyDescent="0.25">
      <c r="D10">
        <v>1000</v>
      </c>
      <c r="E10" t="s">
        <v>322</v>
      </c>
      <c r="F10" s="4">
        <f>HLOOKUP($E$4,'5.1 Bilan'!$F$3:$BF$226,5,0)</f>
        <v>1698.15</v>
      </c>
    </row>
    <row r="11" spans="1:6" x14ac:dyDescent="0.25">
      <c r="D11">
        <v>1001</v>
      </c>
      <c r="E11" t="s">
        <v>323</v>
      </c>
      <c r="F11" s="4">
        <f>HLOOKUP($E$4,'5.1 Bilan'!$F$3:$BF$226,6,0)</f>
        <v>74871.34</v>
      </c>
    </row>
    <row r="12" spans="1:6" x14ac:dyDescent="0.25">
      <c r="D12">
        <v>1002</v>
      </c>
      <c r="E12" t="s">
        <v>331</v>
      </c>
      <c r="F12" s="4">
        <f>HLOOKUP($E$4,'5.1 Bilan'!$F$3:$BF$226,7,0)</f>
        <v>934448.18</v>
      </c>
    </row>
    <row r="13" spans="1:6" x14ac:dyDescent="0.25">
      <c r="D13">
        <v>1003</v>
      </c>
      <c r="E13" t="s">
        <v>324</v>
      </c>
      <c r="F13" s="4">
        <f>HLOOKUP($E$4,'5.1 Bilan'!$F$3:$BF$226,8,0)</f>
        <v>0</v>
      </c>
    </row>
    <row r="14" spans="1:6" x14ac:dyDescent="0.25">
      <c r="D14">
        <v>1004</v>
      </c>
      <c r="E14" t="s">
        <v>325</v>
      </c>
      <c r="F14" s="4">
        <f>HLOOKUP($E$4,'5.1 Bilan'!$F$3:$BF$226,9,0)</f>
        <v>0</v>
      </c>
    </row>
    <row r="15" spans="1:6" x14ac:dyDescent="0.25">
      <c r="D15">
        <v>1009</v>
      </c>
      <c r="E15" t="s">
        <v>326</v>
      </c>
      <c r="F15" s="4">
        <f>HLOOKUP($E$4,'5.1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HLOOKUP($E$4,'5.1 Bilan'!$F$3:$BF$226,13,0)</f>
        <v>62083.64</v>
      </c>
    </row>
    <row r="19" spans="1:6" x14ac:dyDescent="0.25">
      <c r="D19">
        <v>1011</v>
      </c>
      <c r="E19" t="s">
        <v>408</v>
      </c>
      <c r="F19" s="4">
        <f>HLOOKUP($E$4,'5.1 Bilan'!$F$3:$BF$226,14,0)</f>
        <v>0</v>
      </c>
    </row>
    <row r="20" spans="1:6" x14ac:dyDescent="0.25">
      <c r="D20">
        <v>1012</v>
      </c>
      <c r="E20" t="s">
        <v>328</v>
      </c>
      <c r="F20" s="4">
        <f>HLOOKUP($E$4,'5.1 Bilan'!$F$3:$BF$226,15,0)</f>
        <v>408257.56</v>
      </c>
    </row>
    <row r="21" spans="1:6" x14ac:dyDescent="0.25">
      <c r="D21">
        <v>1013</v>
      </c>
      <c r="E21" t="s">
        <v>329</v>
      </c>
      <c r="F21" s="4">
        <f>HLOOKUP($E$4,'5.1 Bilan'!$F$3:$BF$226,16,0)</f>
        <v>0</v>
      </c>
    </row>
    <row r="22" spans="1:6" x14ac:dyDescent="0.25">
      <c r="D22">
        <v>1014</v>
      </c>
      <c r="E22" t="s">
        <v>330</v>
      </c>
      <c r="F22" s="4">
        <f>HLOOKUP($E$4,'5.1 Bilan'!$F$3:$BF$226,17,0)</f>
        <v>0</v>
      </c>
    </row>
    <row r="23" spans="1:6" x14ac:dyDescent="0.25">
      <c r="D23">
        <v>1015</v>
      </c>
      <c r="E23" t="s">
        <v>332</v>
      </c>
      <c r="F23" s="4">
        <f>HLOOKUP($E$4,'5.1 Bilan'!$F$3:$BF$226,18,0)</f>
        <v>0</v>
      </c>
    </row>
    <row r="24" spans="1:6" x14ac:dyDescent="0.25">
      <c r="D24">
        <v>1016</v>
      </c>
      <c r="E24" t="s">
        <v>333</v>
      </c>
      <c r="F24" s="4">
        <f>HLOOKUP($E$4,'5.1 Bilan'!$F$3:$BF$226,19,0)</f>
        <v>0</v>
      </c>
    </row>
    <row r="25" spans="1:6" x14ac:dyDescent="0.25">
      <c r="D25">
        <v>1019</v>
      </c>
      <c r="E25" t="s">
        <v>334</v>
      </c>
      <c r="F25" s="4">
        <f>HLOOKUP($E$4,'5.1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HLOOKUP($E$4,'5.1 Bilan'!$F$3:$BF$226,23,0)</f>
        <v>0</v>
      </c>
    </row>
    <row r="29" spans="1:6" x14ac:dyDescent="0.25">
      <c r="D29">
        <v>1022</v>
      </c>
      <c r="E29" t="s">
        <v>336</v>
      </c>
      <c r="F29" s="4">
        <f>HLOOKUP($E$4,'5.1 Bilan'!$F$3:$BF$226,24,0)</f>
        <v>0</v>
      </c>
    </row>
    <row r="30" spans="1:6" x14ac:dyDescent="0.25">
      <c r="D30">
        <v>1023</v>
      </c>
      <c r="E30" t="s">
        <v>337</v>
      </c>
      <c r="F30" s="4">
        <f>HLOOKUP($E$4,'5.1 Bilan'!$F$3:$BF$226,25,0)</f>
        <v>0</v>
      </c>
    </row>
    <row r="31" spans="1:6" x14ac:dyDescent="0.25">
      <c r="D31">
        <v>1029</v>
      </c>
      <c r="E31" t="s">
        <v>338</v>
      </c>
      <c r="F31" s="4">
        <f>HLOOKUP($E$4,'5.1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HLOOKUP($E$4,'5.1 Bilan'!$F$3:$BF$226,29,0)</f>
        <v>0</v>
      </c>
    </row>
    <row r="35" spans="3:6" x14ac:dyDescent="0.25">
      <c r="D35">
        <v>1041</v>
      </c>
      <c r="E35" t="s">
        <v>339</v>
      </c>
      <c r="F35" s="4">
        <f>HLOOKUP($E$4,'5.1 Bilan'!$F$3:$BF$226,30,0)</f>
        <v>123455.05</v>
      </c>
    </row>
    <row r="36" spans="3:6" x14ac:dyDescent="0.25">
      <c r="D36">
        <v>1042</v>
      </c>
      <c r="E36" t="s">
        <v>340</v>
      </c>
      <c r="F36" s="4">
        <f>HLOOKUP($E$4,'5.1 Bilan'!$F$3:$BF$226,31,0)</f>
        <v>0</v>
      </c>
    </row>
    <row r="37" spans="3:6" x14ac:dyDescent="0.25">
      <c r="D37">
        <v>1043</v>
      </c>
      <c r="E37" t="s">
        <v>341</v>
      </c>
      <c r="F37" s="4">
        <f>HLOOKUP($E$4,'5.1 Bilan'!$F$3:$BF$226,32,0)</f>
        <v>69637.98</v>
      </c>
    </row>
    <row r="38" spans="3:6" x14ac:dyDescent="0.25">
      <c r="D38">
        <v>1044</v>
      </c>
      <c r="E38" t="s">
        <v>342</v>
      </c>
      <c r="F38" s="4">
        <f>HLOOKUP($E$4,'5.1 Bilan'!$F$3:$BF$226,33,0)</f>
        <v>0</v>
      </c>
    </row>
    <row r="39" spans="3:6" x14ac:dyDescent="0.25">
      <c r="D39">
        <v>1045</v>
      </c>
      <c r="E39" t="s">
        <v>343</v>
      </c>
      <c r="F39" s="4">
        <f>HLOOKUP($E$4,'5.1 Bilan'!$F$3:$BF$226,34,0)</f>
        <v>0</v>
      </c>
    </row>
    <row r="40" spans="3:6" x14ac:dyDescent="0.25">
      <c r="D40">
        <v>1046</v>
      </c>
      <c r="E40" t="s">
        <v>344</v>
      </c>
      <c r="F40" s="4">
        <f>HLOOKUP($E$4,'5.1 Bilan'!$F$3:$BF$226,35,0)</f>
        <v>0</v>
      </c>
    </row>
    <row r="41" spans="3:6" x14ac:dyDescent="0.25">
      <c r="D41">
        <v>1049</v>
      </c>
      <c r="E41" t="s">
        <v>345</v>
      </c>
      <c r="F41" s="4">
        <f>HLOOKUP($E$4,'5.1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HLOOKUP($E$4,'5.1 Bilan'!$F$3:$BF$226,39,0)</f>
        <v>0</v>
      </c>
    </row>
    <row r="45" spans="3:6" x14ac:dyDescent="0.25">
      <c r="D45">
        <v>1061</v>
      </c>
      <c r="E45" t="s">
        <v>347</v>
      </c>
      <c r="F45" s="4">
        <f>HLOOKUP($E$4,'5.1 Bilan'!$F$3:$BF$226,40,0)</f>
        <v>0</v>
      </c>
    </row>
    <row r="46" spans="3:6" x14ac:dyDescent="0.25">
      <c r="D46">
        <v>1062</v>
      </c>
      <c r="E46" t="s">
        <v>348</v>
      </c>
      <c r="F46" s="4">
        <f>HLOOKUP($E$4,'5.1 Bilan'!$F$3:$BF$226,41,0)</f>
        <v>0</v>
      </c>
    </row>
    <row r="47" spans="3:6" x14ac:dyDescent="0.25">
      <c r="D47">
        <v>1063</v>
      </c>
      <c r="E47" t="s">
        <v>349</v>
      </c>
      <c r="F47" s="4">
        <f>HLOOKUP($E$4,'5.1 Bilan'!$F$3:$BF$226,42,0)</f>
        <v>0</v>
      </c>
    </row>
    <row r="48" spans="3:6" x14ac:dyDescent="0.25">
      <c r="D48">
        <v>1068</v>
      </c>
      <c r="E48" t="s">
        <v>350</v>
      </c>
      <c r="F48" s="4">
        <f>HLOOKUP($E$4,'5.1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HLOOKUP($E$4,'5.1 Bilan'!$F$3:$BF$226,46,0)</f>
        <v>4</v>
      </c>
    </row>
    <row r="52" spans="3:6" x14ac:dyDescent="0.25">
      <c r="D52">
        <v>1071</v>
      </c>
      <c r="E52" t="s">
        <v>352</v>
      </c>
      <c r="F52" s="4">
        <f>HLOOKUP($E$4,'5.1 Bilan'!$F$3:$BF$226,47,0)</f>
        <v>0</v>
      </c>
    </row>
    <row r="53" spans="3:6" x14ac:dyDescent="0.25">
      <c r="D53">
        <v>1072</v>
      </c>
      <c r="E53" t="s">
        <v>353</v>
      </c>
      <c r="F53" s="4">
        <f>HLOOKUP($E$4,'5.1 Bilan'!$F$3:$BF$226,48,0)</f>
        <v>0</v>
      </c>
    </row>
    <row r="54" spans="3:6" x14ac:dyDescent="0.25">
      <c r="D54">
        <v>1079</v>
      </c>
      <c r="E54" t="s">
        <v>354</v>
      </c>
      <c r="F54" s="4">
        <f>HLOOKUP($E$4,'5.1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HLOOKUP($E$4,'5.1 Bilan'!$F$3:$BF$226,52,0)</f>
        <v>185335</v>
      </c>
    </row>
    <row r="58" spans="3:6" x14ac:dyDescent="0.25">
      <c r="D58">
        <v>1084</v>
      </c>
      <c r="E58" t="s">
        <v>357</v>
      </c>
      <c r="F58" s="4">
        <f>HLOOKUP($E$4,'5.1 Bilan'!$F$3:$BF$226,53,0)</f>
        <v>710000</v>
      </c>
    </row>
    <row r="59" spans="3:6" x14ac:dyDescent="0.25">
      <c r="D59">
        <v>1086</v>
      </c>
      <c r="E59" t="s">
        <v>358</v>
      </c>
      <c r="F59" s="4">
        <f>HLOOKUP($E$4,'5.1 Bilan'!$F$3:$BF$226,54,0)</f>
        <v>0</v>
      </c>
    </row>
    <row r="60" spans="3:6" x14ac:dyDescent="0.25">
      <c r="D60">
        <v>1087</v>
      </c>
      <c r="E60" t="s">
        <v>359</v>
      </c>
      <c r="F60" s="4">
        <f>HLOOKUP($E$4,'5.1 Bilan'!$F$3:$BF$226,55,0)</f>
        <v>0</v>
      </c>
    </row>
    <row r="61" spans="3:6" x14ac:dyDescent="0.25">
      <c r="D61">
        <v>1088</v>
      </c>
      <c r="E61" t="s">
        <v>360</v>
      </c>
      <c r="F61" s="4">
        <f>HLOOKUP($E$4,'5.1 Bilan'!$F$3:$BF$226,56,0)</f>
        <v>0</v>
      </c>
    </row>
    <row r="62" spans="3:6" x14ac:dyDescent="0.25">
      <c r="D62">
        <v>1089</v>
      </c>
      <c r="E62" t="s">
        <v>361</v>
      </c>
      <c r="F62" s="4">
        <f>HLOOKUP($E$4,'5.1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HLOOKUP($E$4,'5.1 Bilan'!$F$3:$BF$226,60,0)</f>
        <v>0</v>
      </c>
    </row>
    <row r="66" spans="2:6" x14ac:dyDescent="0.25">
      <c r="D66">
        <v>1091</v>
      </c>
      <c r="E66" t="s">
        <v>363</v>
      </c>
      <c r="F66" s="4">
        <f>HLOOKUP($E$4,'5.1 Bilan'!$F$3:$BF$226,61,0)</f>
        <v>0</v>
      </c>
    </row>
    <row r="67" spans="2:6" x14ac:dyDescent="0.25">
      <c r="D67">
        <v>1092</v>
      </c>
      <c r="E67" t="s">
        <v>364</v>
      </c>
      <c r="F67" s="4">
        <f>HLOOKUP($E$4,'5.1 Bilan'!$F$3:$BF$226,62,0)</f>
        <v>0</v>
      </c>
    </row>
    <row r="68" spans="2:6" x14ac:dyDescent="0.25">
      <c r="D68">
        <v>1093</v>
      </c>
      <c r="E68" t="s">
        <v>365</v>
      </c>
      <c r="F68" s="4">
        <f>HLOOKUP($E$4,'5.1 Bilan'!$F$3:$BF$226,63,0)</f>
        <v>0</v>
      </c>
    </row>
    <row r="69" spans="2:6" x14ac:dyDescent="0.25">
      <c r="F69" s="4"/>
    </row>
    <row r="70" spans="2:6" x14ac:dyDescent="0.25">
      <c r="B70" s="76">
        <v>14</v>
      </c>
      <c r="C70" s="76"/>
      <c r="D70" s="76"/>
      <c r="E70" s="76" t="s">
        <v>254</v>
      </c>
      <c r="F70" s="77">
        <f>HLOOKUP($E$4,'5.1 Bilan'!$F$3:$BF$226,65,0)</f>
        <v>3533927.65</v>
      </c>
    </row>
    <row r="71" spans="2:6" x14ac:dyDescent="0.25">
      <c r="C71" s="69">
        <v>140</v>
      </c>
      <c r="D71" s="69"/>
      <c r="E71" s="69" t="s">
        <v>256</v>
      </c>
      <c r="F71" s="70">
        <f>SUM(F72:F80)</f>
        <v>3510208</v>
      </c>
    </row>
    <row r="72" spans="2:6" x14ac:dyDescent="0.25">
      <c r="D72">
        <v>1400</v>
      </c>
      <c r="E72" t="s">
        <v>366</v>
      </c>
      <c r="F72" s="4">
        <f>HLOOKUP($E$4,'5.1 Bilan'!$F$3:$BF$226,67,0)</f>
        <v>163195</v>
      </c>
    </row>
    <row r="73" spans="2:6" x14ac:dyDescent="0.25">
      <c r="D73">
        <v>1401</v>
      </c>
      <c r="E73" t="s">
        <v>367</v>
      </c>
      <c r="F73" s="4">
        <f>HLOOKUP($E$4,'5.1 Bilan'!$F$3:$BF$226,68,0)</f>
        <v>702000</v>
      </c>
    </row>
    <row r="74" spans="2:6" x14ac:dyDescent="0.25">
      <c r="D74">
        <v>1402</v>
      </c>
      <c r="E74" t="s">
        <v>368</v>
      </c>
      <c r="F74" s="4">
        <f>HLOOKUP($E$4,'5.1 Bilan'!$F$3:$BF$226,69,0)</f>
        <v>0</v>
      </c>
    </row>
    <row r="75" spans="2:6" x14ac:dyDescent="0.25">
      <c r="D75">
        <v>1403</v>
      </c>
      <c r="E75" t="s">
        <v>369</v>
      </c>
      <c r="F75" s="4">
        <f>HLOOKUP($E$4,'5.1 Bilan'!$F$3:$BF$226,70,0)</f>
        <v>254000</v>
      </c>
    </row>
    <row r="76" spans="2:6" x14ac:dyDescent="0.25">
      <c r="D76">
        <v>1404</v>
      </c>
      <c r="E76" t="s">
        <v>370</v>
      </c>
      <c r="F76" s="4">
        <f>HLOOKUP($E$4,'5.1 Bilan'!$F$3:$BF$226,71,0)</f>
        <v>1180000</v>
      </c>
    </row>
    <row r="77" spans="2:6" x14ac:dyDescent="0.25">
      <c r="D77">
        <v>1405</v>
      </c>
      <c r="E77" t="s">
        <v>371</v>
      </c>
      <c r="F77" s="4">
        <f>HLOOKUP($E$4,'5.1 Bilan'!$F$3:$BF$226,72,0)</f>
        <v>1211010</v>
      </c>
    </row>
    <row r="78" spans="2:6" x14ac:dyDescent="0.25">
      <c r="D78">
        <v>1406</v>
      </c>
      <c r="E78" t="s">
        <v>372</v>
      </c>
      <c r="F78" s="4">
        <f>HLOOKUP($E$4,'5.1 Bilan'!$F$3:$BF$226,73,0)</f>
        <v>3</v>
      </c>
    </row>
    <row r="79" spans="2:6" x14ac:dyDescent="0.25">
      <c r="D79">
        <v>1407</v>
      </c>
      <c r="E79" t="s">
        <v>373</v>
      </c>
      <c r="F79" s="4">
        <f>HLOOKUP($E$4,'5.1 Bilan'!$F$3:$BF$226,74,0)</f>
        <v>0</v>
      </c>
    </row>
    <row r="80" spans="2:6" x14ac:dyDescent="0.25">
      <c r="D80">
        <v>1409</v>
      </c>
      <c r="E80" t="s">
        <v>374</v>
      </c>
      <c r="F80" s="4">
        <f>HLOOKUP($E$4,'5.1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HLOOKUP($E$4,'5.1 Bilan'!$F$3:$BF$226,78,0)</f>
        <v>0</v>
      </c>
    </row>
    <row r="84" spans="3:6" x14ac:dyDescent="0.25">
      <c r="D84" s="79">
        <v>1421</v>
      </c>
      <c r="E84" s="79" t="s">
        <v>376</v>
      </c>
      <c r="F84" s="4">
        <f>HLOOKUP($E$4,'5.1 Bilan'!$F$3:$BF$226,79,0)</f>
        <v>0</v>
      </c>
    </row>
    <row r="85" spans="3:6" x14ac:dyDescent="0.25">
      <c r="D85" s="79">
        <v>1427</v>
      </c>
      <c r="E85" s="79" t="s">
        <v>593</v>
      </c>
      <c r="F85" s="4">
        <f>HLOOKUP($E$4,'5.1 Bilan'!$F$3:$BF$226,80,0)</f>
        <v>1219.6500000000001</v>
      </c>
    </row>
    <row r="86" spans="3:6" x14ac:dyDescent="0.25">
      <c r="D86" s="79">
        <v>1429</v>
      </c>
      <c r="E86" s="79" t="s">
        <v>476</v>
      </c>
      <c r="F86" s="4">
        <f>HLOOKUP($E$4,'5.1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HLOOKUP($E$4,'5.1 Bilan'!$F$3:$BF$226,84,0)</f>
        <v>0</v>
      </c>
    </row>
    <row r="90" spans="3:6" x14ac:dyDescent="0.25">
      <c r="D90">
        <v>1441</v>
      </c>
      <c r="E90" t="s">
        <v>379</v>
      </c>
      <c r="F90" s="4">
        <f>HLOOKUP($E$4,'5.1 Bilan'!$F$3:$BF$226,85,0)</f>
        <v>0</v>
      </c>
    </row>
    <row r="91" spans="3:6" x14ac:dyDescent="0.25">
      <c r="D91">
        <v>1442</v>
      </c>
      <c r="E91" t="s">
        <v>378</v>
      </c>
      <c r="F91" s="4">
        <f>HLOOKUP($E$4,'5.1 Bilan'!$F$3:$BF$226,86,0)</f>
        <v>22500</v>
      </c>
    </row>
    <row r="92" spans="3:6" x14ac:dyDescent="0.25">
      <c r="D92">
        <v>1443</v>
      </c>
      <c r="E92" t="s">
        <v>380</v>
      </c>
      <c r="F92" s="4">
        <f>HLOOKUP($E$4,'5.1 Bilan'!$F$3:$BF$226,87,0)</f>
        <v>0</v>
      </c>
    </row>
    <row r="93" spans="3:6" x14ac:dyDescent="0.25">
      <c r="D93">
        <v>1444</v>
      </c>
      <c r="E93" t="s">
        <v>381</v>
      </c>
      <c r="F93" s="4">
        <f>HLOOKUP($E$4,'5.1 Bilan'!$F$3:$BF$226,88,0)</f>
        <v>0</v>
      </c>
    </row>
    <row r="94" spans="3:6" x14ac:dyDescent="0.25">
      <c r="D94">
        <v>1445</v>
      </c>
      <c r="E94" t="s">
        <v>382</v>
      </c>
      <c r="F94" s="4">
        <f>HLOOKUP($E$4,'5.1 Bilan'!$F$3:$BF$226,89,0)</f>
        <v>0</v>
      </c>
    </row>
    <row r="95" spans="3:6" x14ac:dyDescent="0.25">
      <c r="D95">
        <v>1446</v>
      </c>
      <c r="E95" t="s">
        <v>383</v>
      </c>
      <c r="F95" s="4">
        <f>HLOOKUP($E$4,'5.1 Bilan'!$F$3:$BF$226,90,0)</f>
        <v>0</v>
      </c>
    </row>
    <row r="96" spans="3:6" x14ac:dyDescent="0.25">
      <c r="D96">
        <v>1447</v>
      </c>
      <c r="E96" t="s">
        <v>384</v>
      </c>
      <c r="F96" s="4">
        <f>HLOOKUP($E$4,'5.1 Bilan'!$F$3:$BF$226,91,0)</f>
        <v>0</v>
      </c>
    </row>
    <row r="97" spans="3:6" x14ac:dyDescent="0.25">
      <c r="D97">
        <v>1448</v>
      </c>
      <c r="E97" t="s">
        <v>385</v>
      </c>
      <c r="F97" s="4">
        <f>HLOOKUP($E$4,'5.1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HLOOKUP($E$4,'5.1 Bilan'!$F$3:$BF$226,95,0)</f>
        <v>0</v>
      </c>
    </row>
    <row r="101" spans="3:6" x14ac:dyDescent="0.25">
      <c r="D101">
        <v>1451</v>
      </c>
      <c r="E101" t="s">
        <v>386</v>
      </c>
      <c r="F101" s="4">
        <f>HLOOKUP($E$4,'5.1 Bilan'!$F$3:$BF$226,96,0)</f>
        <v>0</v>
      </c>
    </row>
    <row r="102" spans="3:6" x14ac:dyDescent="0.25">
      <c r="D102">
        <v>1452</v>
      </c>
      <c r="E102" t="s">
        <v>389</v>
      </c>
      <c r="F102" s="4">
        <f>HLOOKUP($E$4,'5.1 Bilan'!$F$3:$BF$226,97,0)</f>
        <v>0</v>
      </c>
    </row>
    <row r="103" spans="3:6" x14ac:dyDescent="0.25">
      <c r="D103">
        <v>1453</v>
      </c>
      <c r="E103" t="s">
        <v>390</v>
      </c>
      <c r="F103" s="4">
        <f>HLOOKUP($E$4,'5.1 Bilan'!$F$3:$BF$226,98,0)</f>
        <v>0</v>
      </c>
    </row>
    <row r="104" spans="3:6" x14ac:dyDescent="0.25">
      <c r="D104">
        <v>1454</v>
      </c>
      <c r="E104" t="s">
        <v>391</v>
      </c>
      <c r="F104" s="4">
        <f>HLOOKUP($E$4,'5.1 Bilan'!$F$3:$BF$226,99,0)</f>
        <v>0</v>
      </c>
    </row>
    <row r="105" spans="3:6" x14ac:dyDescent="0.25">
      <c r="D105">
        <v>1455</v>
      </c>
      <c r="E105" t="s">
        <v>392</v>
      </c>
      <c r="F105" s="4">
        <f>HLOOKUP($E$4,'5.1 Bilan'!$F$3:$BF$226,100,0)</f>
        <v>0</v>
      </c>
    </row>
    <row r="106" spans="3:6" x14ac:dyDescent="0.25">
      <c r="D106">
        <v>1456</v>
      </c>
      <c r="E106" t="s">
        <v>393</v>
      </c>
      <c r="F106" s="4">
        <f>HLOOKUP($E$4,'5.1 Bilan'!$F$3:$BF$226,101,0)</f>
        <v>0</v>
      </c>
    </row>
    <row r="107" spans="3:6" x14ac:dyDescent="0.25">
      <c r="D107">
        <v>1457</v>
      </c>
      <c r="E107" t="s">
        <v>394</v>
      </c>
      <c r="F107" s="4">
        <f>HLOOKUP($E$4,'5.1 Bilan'!$F$3:$BF$226,102,0)</f>
        <v>0</v>
      </c>
    </row>
    <row r="108" spans="3:6" x14ac:dyDescent="0.25">
      <c r="D108">
        <v>1458</v>
      </c>
      <c r="E108" t="s">
        <v>395</v>
      </c>
      <c r="F108" s="4">
        <f>HLOOKUP($E$4,'5.1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HLOOKUP($E$4,'5.1 Bilan'!$F$3:$BF$226,106,0)</f>
        <v>0</v>
      </c>
    </row>
    <row r="112" spans="3:6" x14ac:dyDescent="0.25">
      <c r="D112">
        <v>1461</v>
      </c>
      <c r="E112" t="s">
        <v>404</v>
      </c>
      <c r="F112" s="4">
        <f>HLOOKUP($E$4,'5.1 Bilan'!$F$3:$BF$226,107,0)</f>
        <v>0</v>
      </c>
    </row>
    <row r="113" spans="1:6" x14ac:dyDescent="0.25">
      <c r="D113">
        <v>1462</v>
      </c>
      <c r="E113" t="s">
        <v>396</v>
      </c>
      <c r="F113" s="4">
        <f>HLOOKUP($E$4,'5.1 Bilan'!$F$3:$BF$226,108,0)</f>
        <v>0</v>
      </c>
    </row>
    <row r="114" spans="1:6" x14ac:dyDescent="0.25">
      <c r="D114">
        <v>1463</v>
      </c>
      <c r="E114" t="s">
        <v>397</v>
      </c>
      <c r="F114" s="4">
        <f>HLOOKUP($E$4,'5.1 Bilan'!$F$3:$BF$226,109,0)</f>
        <v>0</v>
      </c>
    </row>
    <row r="115" spans="1:6" x14ac:dyDescent="0.25">
      <c r="D115">
        <v>1464</v>
      </c>
      <c r="E115" t="s">
        <v>398</v>
      </c>
      <c r="F115" s="4">
        <f>HLOOKUP($E$4,'5.1 Bilan'!$F$3:$BF$226,110,0)</f>
        <v>0</v>
      </c>
    </row>
    <row r="116" spans="1:6" x14ac:dyDescent="0.25">
      <c r="D116">
        <v>1465</v>
      </c>
      <c r="E116" t="s">
        <v>399</v>
      </c>
      <c r="F116" s="4">
        <f>HLOOKUP($E$4,'5.1 Bilan'!$F$3:$BF$226,111,0)</f>
        <v>0</v>
      </c>
    </row>
    <row r="117" spans="1:6" x14ac:dyDescent="0.25">
      <c r="D117">
        <v>1466</v>
      </c>
      <c r="E117" t="s">
        <v>405</v>
      </c>
      <c r="F117" s="4">
        <f>HLOOKUP($E$4,'5.1 Bilan'!$F$3:$BF$226,112,0)</f>
        <v>0</v>
      </c>
    </row>
    <row r="118" spans="1:6" x14ac:dyDescent="0.25">
      <c r="D118">
        <v>1467</v>
      </c>
      <c r="E118" t="s">
        <v>400</v>
      </c>
      <c r="F118" s="4">
        <f>HLOOKUP($E$4,'5.1 Bilan'!$F$3:$BF$226,113,0)</f>
        <v>0</v>
      </c>
    </row>
    <row r="119" spans="1:6" x14ac:dyDescent="0.25">
      <c r="D119">
        <v>1468</v>
      </c>
      <c r="E119" t="s">
        <v>401</v>
      </c>
      <c r="F119" s="4">
        <f>HLOOKUP($E$4,'5.1 Bilan'!$F$3:$BF$226,114,0)</f>
        <v>0</v>
      </c>
    </row>
    <row r="120" spans="1:6" x14ac:dyDescent="0.25">
      <c r="D120">
        <v>1469</v>
      </c>
      <c r="E120" t="s">
        <v>402</v>
      </c>
      <c r="F120" s="4">
        <f>HLOOKUP($E$4,'5.1 Bilan'!$F$3:$BF$226,115,0)</f>
        <v>0</v>
      </c>
    </row>
    <row r="121" spans="1:6" x14ac:dyDescent="0.25">
      <c r="F121" s="4"/>
    </row>
    <row r="122" spans="1:6" x14ac:dyDescent="0.25">
      <c r="F122" s="4"/>
    </row>
    <row r="123" spans="1:6" ht="21" x14ac:dyDescent="0.35">
      <c r="A123" s="81">
        <v>2</v>
      </c>
      <c r="B123" s="81"/>
      <c r="C123" s="81"/>
      <c r="D123" s="81"/>
      <c r="E123" s="81" t="s">
        <v>258</v>
      </c>
      <c r="F123" s="178">
        <f>HLOOKUP($E$4,'5.1 Bilan'!$F$3:$BF$226,118,0)</f>
        <v>6103718.5499999998</v>
      </c>
    </row>
    <row r="124" spans="1:6" x14ac:dyDescent="0.25">
      <c r="A124" s="7"/>
      <c r="B124" s="85">
        <v>20</v>
      </c>
      <c r="C124" s="85"/>
      <c r="D124" s="85"/>
      <c r="E124" s="85" t="s">
        <v>259</v>
      </c>
      <c r="F124" s="86">
        <f>HLOOKUP($E$4,'5.1 Bilan'!$F$3:$BF$226,119,0)</f>
        <v>4724519.8</v>
      </c>
    </row>
    <row r="125" spans="1:6" x14ac:dyDescent="0.25">
      <c r="C125" s="83">
        <v>200</v>
      </c>
      <c r="D125" s="83"/>
      <c r="E125" s="83" t="s">
        <v>260</v>
      </c>
      <c r="F125" s="84">
        <f>SUM(F126:F133)</f>
        <v>403308.85</v>
      </c>
    </row>
    <row r="126" spans="1:6" x14ac:dyDescent="0.25">
      <c r="D126">
        <v>2000</v>
      </c>
      <c r="E126" t="s">
        <v>407</v>
      </c>
      <c r="F126" s="4">
        <f>HLOOKUP($E$4,'5.1 Bilan'!$F$3:$BF$226,121,0)</f>
        <v>89314.75</v>
      </c>
    </row>
    <row r="127" spans="1:6" x14ac:dyDescent="0.25">
      <c r="D127">
        <v>2001</v>
      </c>
      <c r="E127" t="s">
        <v>408</v>
      </c>
      <c r="F127" s="4">
        <f>HLOOKUP($E$4,'5.1 Bilan'!$F$3:$BF$226,122,0)</f>
        <v>0</v>
      </c>
    </row>
    <row r="128" spans="1:6" x14ac:dyDescent="0.25">
      <c r="D128">
        <v>2002</v>
      </c>
      <c r="E128" t="s">
        <v>409</v>
      </c>
      <c r="F128" s="4">
        <f>HLOOKUP($E$4,'5.1 Bilan'!$F$3:$BF$226,123,0)</f>
        <v>10011.950000000001</v>
      </c>
    </row>
    <row r="129" spans="3:6" x14ac:dyDescent="0.25">
      <c r="D129">
        <v>2003</v>
      </c>
      <c r="E129" t="s">
        <v>410</v>
      </c>
      <c r="F129" s="4">
        <f>HLOOKUP($E$4,'5.1 Bilan'!$F$3:$BF$226,124,0)</f>
        <v>0</v>
      </c>
    </row>
    <row r="130" spans="3:6" x14ac:dyDescent="0.25">
      <c r="D130">
        <v>2004</v>
      </c>
      <c r="E130" t="s">
        <v>411</v>
      </c>
      <c r="F130" s="4">
        <f>HLOOKUP($E$4,'5.1 Bilan'!$F$3:$BF$226,125,0)</f>
        <v>103552</v>
      </c>
    </row>
    <row r="131" spans="3:6" x14ac:dyDescent="0.25">
      <c r="D131">
        <v>2005</v>
      </c>
      <c r="E131" t="s">
        <v>332</v>
      </c>
      <c r="F131" s="4">
        <f>HLOOKUP($E$4,'5.1 Bilan'!$F$3:$BF$226,126,0)</f>
        <v>200430.15</v>
      </c>
    </row>
    <row r="132" spans="3:6" x14ac:dyDescent="0.25">
      <c r="D132">
        <v>2006</v>
      </c>
      <c r="E132" t="s">
        <v>456</v>
      </c>
      <c r="F132" s="4">
        <f>HLOOKUP($E$4,'5.1 Bilan'!$F$3:$BF$226,127,0)</f>
        <v>0</v>
      </c>
    </row>
    <row r="133" spans="3:6" x14ac:dyDescent="0.25">
      <c r="D133">
        <v>2009</v>
      </c>
      <c r="E133" t="s">
        <v>413</v>
      </c>
      <c r="F133" s="4">
        <f>HLOOKUP($E$4,'5.1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HLOOKUP($E$4,'5.1 Bilan'!$F$3:$BF$226,131,0)</f>
        <v>1341</v>
      </c>
    </row>
    <row r="137" spans="3:6" x14ac:dyDescent="0.25">
      <c r="D137">
        <v>2011</v>
      </c>
      <c r="E137" t="s">
        <v>415</v>
      </c>
      <c r="F137" s="4">
        <f>HLOOKUP($E$4,'5.1 Bilan'!$F$3:$BF$226,132,0)</f>
        <v>0</v>
      </c>
    </row>
    <row r="138" spans="3:6" x14ac:dyDescent="0.25">
      <c r="D138">
        <v>2012</v>
      </c>
      <c r="E138" t="s">
        <v>416</v>
      </c>
      <c r="F138" s="4">
        <f>HLOOKUP($E$4,'5.1 Bilan'!$F$3:$BF$226,133,0)</f>
        <v>0</v>
      </c>
    </row>
    <row r="139" spans="3:6" x14ac:dyDescent="0.25">
      <c r="D139">
        <v>2013</v>
      </c>
      <c r="E139" t="s">
        <v>417</v>
      </c>
      <c r="F139" s="4">
        <f>HLOOKUP($E$4,'5.1 Bilan'!$F$3:$BF$226,134,0)</f>
        <v>0</v>
      </c>
    </row>
    <row r="140" spans="3:6" x14ac:dyDescent="0.25">
      <c r="D140">
        <v>2014</v>
      </c>
      <c r="E140" t="s">
        <v>419</v>
      </c>
      <c r="F140" s="4">
        <f>HLOOKUP($E$4,'5.1 Bilan'!$F$3:$BF$226,135,0)</f>
        <v>149085</v>
      </c>
    </row>
    <row r="141" spans="3:6" x14ac:dyDescent="0.25">
      <c r="D141">
        <v>2015</v>
      </c>
      <c r="E141" t="s">
        <v>418</v>
      </c>
      <c r="F141" s="4">
        <f>HLOOKUP($E$4,'5.1 Bilan'!$F$3:$BF$226,136,0)</f>
        <v>0</v>
      </c>
    </row>
    <row r="142" spans="3:6" x14ac:dyDescent="0.25">
      <c r="D142">
        <v>2016</v>
      </c>
      <c r="E142" t="s">
        <v>276</v>
      </c>
      <c r="F142" s="4">
        <f>HLOOKUP($E$4,'5.1 Bilan'!$F$3:$BF$226,137,0)</f>
        <v>0</v>
      </c>
    </row>
    <row r="143" spans="3:6" x14ac:dyDescent="0.25">
      <c r="D143">
        <v>2019</v>
      </c>
      <c r="E143" t="s">
        <v>420</v>
      </c>
      <c r="F143" s="4">
        <f>HLOOKUP($E$4,'5.1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HLOOKUP($E$4,'5.1 Bilan'!$F$3:$BF$226,141,0)</f>
        <v>0</v>
      </c>
    </row>
    <row r="147" spans="3:6" x14ac:dyDescent="0.25">
      <c r="D147">
        <v>2041</v>
      </c>
      <c r="E147" t="s">
        <v>284</v>
      </c>
      <c r="F147" s="4">
        <f>HLOOKUP($E$4,'5.1 Bilan'!$F$3:$BF$226,142,0)</f>
        <v>71826.45</v>
      </c>
    </row>
    <row r="148" spans="3:6" x14ac:dyDescent="0.25">
      <c r="D148">
        <v>2042</v>
      </c>
      <c r="E148" t="s">
        <v>340</v>
      </c>
      <c r="F148" s="4">
        <f>HLOOKUP($E$4,'5.1 Bilan'!$F$3:$BF$226,143,0)</f>
        <v>0</v>
      </c>
    </row>
    <row r="149" spans="3:6" x14ac:dyDescent="0.25">
      <c r="D149">
        <v>2043</v>
      </c>
      <c r="E149" t="s">
        <v>341</v>
      </c>
      <c r="F149" s="4">
        <f>HLOOKUP($E$4,'5.1 Bilan'!$F$3:$BF$226,144,0)</f>
        <v>224636.55</v>
      </c>
    </row>
    <row r="150" spans="3:6" x14ac:dyDescent="0.25">
      <c r="D150">
        <v>2044</v>
      </c>
      <c r="E150" t="s">
        <v>421</v>
      </c>
      <c r="F150" s="4">
        <f>HLOOKUP($E$4,'5.1 Bilan'!$F$3:$BF$226,145,0)</f>
        <v>0</v>
      </c>
    </row>
    <row r="151" spans="3:6" x14ac:dyDescent="0.25">
      <c r="D151">
        <v>2045</v>
      </c>
      <c r="E151" t="s">
        <v>343</v>
      </c>
      <c r="F151" s="4">
        <f>HLOOKUP($E$4,'5.1 Bilan'!$F$3:$BF$226,146,0)</f>
        <v>0</v>
      </c>
    </row>
    <row r="152" spans="3:6" x14ac:dyDescent="0.25">
      <c r="D152">
        <v>2046</v>
      </c>
      <c r="E152" t="s">
        <v>422</v>
      </c>
      <c r="F152" s="4">
        <f>HLOOKUP($E$4,'5.1 Bilan'!$F$3:$BF$226,147,0)</f>
        <v>0</v>
      </c>
    </row>
    <row r="153" spans="3:6" x14ac:dyDescent="0.25">
      <c r="D153">
        <v>2049</v>
      </c>
      <c r="E153" t="s">
        <v>423</v>
      </c>
      <c r="F153" s="4">
        <f>HLOOKUP($E$4,'5.1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HLOOKUP($E$4,'5.1 Bilan'!$F$3:$BF$226,151,0)</f>
        <v>0</v>
      </c>
    </row>
    <row r="157" spans="3:6" x14ac:dyDescent="0.25">
      <c r="D157">
        <v>2051</v>
      </c>
      <c r="E157" t="s">
        <v>425</v>
      </c>
      <c r="F157" s="4">
        <f>HLOOKUP($E$4,'5.1 Bilan'!$F$3:$BF$226,152,0)</f>
        <v>0</v>
      </c>
    </row>
    <row r="158" spans="3:6" x14ac:dyDescent="0.25">
      <c r="D158">
        <v>2052</v>
      </c>
      <c r="E158" t="s">
        <v>426</v>
      </c>
      <c r="F158" s="4">
        <f>HLOOKUP($E$4,'5.1 Bilan'!$F$3:$BF$226,153,0)</f>
        <v>0</v>
      </c>
    </row>
    <row r="159" spans="3:6" x14ac:dyDescent="0.25">
      <c r="D159">
        <v>2053</v>
      </c>
      <c r="E159" t="s">
        <v>430</v>
      </c>
      <c r="F159" s="4">
        <f>HLOOKUP($E$4,'5.1 Bilan'!$F$3:$BF$226,154,0)</f>
        <v>0</v>
      </c>
    </row>
    <row r="160" spans="3:6" x14ac:dyDescent="0.25">
      <c r="D160">
        <v>2054</v>
      </c>
      <c r="E160" t="s">
        <v>428</v>
      </c>
      <c r="F160" s="4">
        <f>HLOOKUP($E$4,'5.1 Bilan'!$F$3:$BF$226,155,0)</f>
        <v>0</v>
      </c>
    </row>
    <row r="161" spans="3:6" x14ac:dyDescent="0.25">
      <c r="D161">
        <v>2055</v>
      </c>
      <c r="E161" t="s">
        <v>427</v>
      </c>
      <c r="F161" s="4">
        <f>HLOOKUP($E$4,'5.1 Bilan'!$F$3:$BF$226,156,0)</f>
        <v>0</v>
      </c>
    </row>
    <row r="162" spans="3:6" x14ac:dyDescent="0.25">
      <c r="D162">
        <v>2056</v>
      </c>
      <c r="E162" t="s">
        <v>429</v>
      </c>
      <c r="F162" s="4">
        <f>HLOOKUP($E$4,'5.1 Bilan'!$F$3:$BF$226,157,0)</f>
        <v>0</v>
      </c>
    </row>
    <row r="163" spans="3:6" x14ac:dyDescent="0.25">
      <c r="D163">
        <v>2057</v>
      </c>
      <c r="E163" t="s">
        <v>431</v>
      </c>
      <c r="F163" s="4">
        <f>HLOOKUP($E$4,'5.1 Bilan'!$F$3:$BF$226,158,0)</f>
        <v>0</v>
      </c>
    </row>
    <row r="164" spans="3:6" x14ac:dyDescent="0.25">
      <c r="D164">
        <v>2058</v>
      </c>
      <c r="E164" t="s">
        <v>432</v>
      </c>
      <c r="F164" s="4">
        <f>HLOOKUP($E$4,'5.1 Bilan'!$F$3:$BF$226,159,0)</f>
        <v>0</v>
      </c>
    </row>
    <row r="165" spans="3:6" x14ac:dyDescent="0.25">
      <c r="D165">
        <v>2059</v>
      </c>
      <c r="E165" t="s">
        <v>433</v>
      </c>
      <c r="F165" s="4">
        <f>HLOOKUP($E$4,'5.1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HLOOKUP($E$4,'5.1 Bilan'!$F$3:$BF$226,163,0)</f>
        <v>0</v>
      </c>
    </row>
    <row r="169" spans="3:6" x14ac:dyDescent="0.25">
      <c r="D169">
        <v>2062</v>
      </c>
      <c r="E169" t="s">
        <v>435</v>
      </c>
      <c r="F169" s="4">
        <f>HLOOKUP($E$4,'5.1 Bilan'!$F$3:$BF$226,164,0)</f>
        <v>0</v>
      </c>
    </row>
    <row r="170" spans="3:6" x14ac:dyDescent="0.25">
      <c r="D170">
        <v>2063</v>
      </c>
      <c r="E170" t="s">
        <v>436</v>
      </c>
      <c r="F170" s="4">
        <f>HLOOKUP($E$4,'5.1 Bilan'!$F$3:$BF$226,165,0)</f>
        <v>3874321.95</v>
      </c>
    </row>
    <row r="171" spans="3:6" x14ac:dyDescent="0.25">
      <c r="D171">
        <v>2064</v>
      </c>
      <c r="E171" t="s">
        <v>457</v>
      </c>
      <c r="F171" s="4">
        <f>HLOOKUP($E$4,'5.1 Bilan'!$F$3:$BF$226,166,0)</f>
        <v>0</v>
      </c>
    </row>
    <row r="172" spans="3:6" x14ac:dyDescent="0.25">
      <c r="D172">
        <v>2067</v>
      </c>
      <c r="E172" t="s">
        <v>438</v>
      </c>
      <c r="F172" s="4">
        <f>HLOOKUP($E$4,'5.1 Bilan'!$F$3:$BF$226,167,0)</f>
        <v>0</v>
      </c>
    </row>
    <row r="173" spans="3:6" x14ac:dyDescent="0.25">
      <c r="D173">
        <v>2069</v>
      </c>
      <c r="E173" t="s">
        <v>439</v>
      </c>
      <c r="F173" s="4">
        <f>HLOOKUP($E$4,'5.1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HLOOKUP($E$4,'5.1 Bilan'!$F$3:$BF$226,171,0)</f>
        <v>0</v>
      </c>
    </row>
    <row r="177" spans="2:6" x14ac:dyDescent="0.25">
      <c r="D177">
        <v>2082</v>
      </c>
      <c r="E177" t="s">
        <v>441</v>
      </c>
      <c r="F177" s="4">
        <f>HLOOKUP($E$4,'5.1 Bilan'!$F$3:$BF$226,172,0)</f>
        <v>0</v>
      </c>
    </row>
    <row r="178" spans="2:6" x14ac:dyDescent="0.25">
      <c r="D178">
        <v>2083</v>
      </c>
      <c r="E178" t="s">
        <v>442</v>
      </c>
      <c r="F178" s="4">
        <f>HLOOKUP($E$4,'5.1 Bilan'!$F$3:$BF$226,173,0)</f>
        <v>0</v>
      </c>
    </row>
    <row r="179" spans="2:6" x14ac:dyDescent="0.25">
      <c r="D179">
        <v>2084</v>
      </c>
      <c r="E179" t="s">
        <v>443</v>
      </c>
      <c r="F179" s="4">
        <f>HLOOKUP($E$4,'5.1 Bilan'!$F$3:$BF$226,174,0)</f>
        <v>0</v>
      </c>
    </row>
    <row r="180" spans="2:6" x14ac:dyDescent="0.25">
      <c r="D180">
        <v>2085</v>
      </c>
      <c r="E180" t="s">
        <v>445</v>
      </c>
      <c r="F180" s="4">
        <f>HLOOKUP($E$4,'5.1 Bilan'!$F$3:$BF$226,175,0)</f>
        <v>0</v>
      </c>
    </row>
    <row r="181" spans="2:6" x14ac:dyDescent="0.25">
      <c r="D181">
        <v>2086</v>
      </c>
      <c r="E181" t="s">
        <v>444</v>
      </c>
      <c r="F181" s="4">
        <f>HLOOKUP($E$4,'5.1 Bilan'!$F$3:$BF$226,176,0)</f>
        <v>0</v>
      </c>
    </row>
    <row r="182" spans="2:6" x14ac:dyDescent="0.25">
      <c r="D182">
        <v>2087</v>
      </c>
      <c r="E182" t="s">
        <v>446</v>
      </c>
      <c r="F182" s="4">
        <f>HLOOKUP($E$4,'5.1 Bilan'!$F$3:$BF$226,177,0)</f>
        <v>0</v>
      </c>
    </row>
    <row r="183" spans="2:6" x14ac:dyDescent="0.25">
      <c r="D183">
        <v>2088</v>
      </c>
      <c r="E183" t="s">
        <v>447</v>
      </c>
      <c r="F183" s="4">
        <f>HLOOKUP($E$4,'5.1 Bilan'!$F$3:$BF$226,178,0)</f>
        <v>0</v>
      </c>
    </row>
    <row r="184" spans="2:6" x14ac:dyDescent="0.25">
      <c r="D184">
        <v>2089</v>
      </c>
      <c r="E184" t="s">
        <v>448</v>
      </c>
      <c r="F184" s="4">
        <f>HLOOKUP($E$4,'5.1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HLOOKUP($E$4,'5.1 Bilan'!$F$3:$BF$226,182,0)</f>
        <v>0</v>
      </c>
    </row>
    <row r="188" spans="2:6" x14ac:dyDescent="0.25">
      <c r="D188">
        <v>2091</v>
      </c>
      <c r="E188" t="s">
        <v>449</v>
      </c>
      <c r="F188" s="4">
        <f>HLOOKUP($E$4,'5.1 Bilan'!$F$3:$BF$226,183,0)</f>
        <v>0</v>
      </c>
    </row>
    <row r="189" spans="2:6" x14ac:dyDescent="0.25">
      <c r="D189">
        <v>2092</v>
      </c>
      <c r="E189" t="s">
        <v>450</v>
      </c>
      <c r="F189" s="4">
        <f>HLOOKUP($E$4,'5.1 Bilan'!$F$3:$BF$226,184,0)</f>
        <v>0</v>
      </c>
    </row>
    <row r="190" spans="2:6" x14ac:dyDescent="0.25">
      <c r="D190">
        <v>2093</v>
      </c>
      <c r="E190" t="s">
        <v>451</v>
      </c>
      <c r="F190" s="4">
        <f>HLOOKUP($E$4,'5.1 Bilan'!$F$3:$BF$226,185,0)</f>
        <v>0</v>
      </c>
    </row>
    <row r="191" spans="2:6" x14ac:dyDescent="0.25">
      <c r="F191" s="4"/>
    </row>
    <row r="192" spans="2:6" x14ac:dyDescent="0.25">
      <c r="B192" s="85">
        <v>29</v>
      </c>
      <c r="C192" s="85"/>
      <c r="D192" s="85"/>
      <c r="E192" s="85" t="s">
        <v>267</v>
      </c>
      <c r="F192" s="86">
        <f>HLOOKUP($E$4,'5.1 Bilan'!$F$3:$BF$226,187,0)</f>
        <v>1379198.75</v>
      </c>
    </row>
    <row r="193" spans="3:6" x14ac:dyDescent="0.25">
      <c r="C193" s="83">
        <v>290</v>
      </c>
      <c r="D193" s="83"/>
      <c r="E193" s="83" t="s">
        <v>268</v>
      </c>
      <c r="F193" s="84">
        <f>SUM(F194)</f>
        <v>760054.2</v>
      </c>
    </row>
    <row r="194" spans="3:6" x14ac:dyDescent="0.25">
      <c r="D194">
        <v>2900</v>
      </c>
      <c r="E194" t="s">
        <v>268</v>
      </c>
      <c r="F194" s="4">
        <f>HLOOKUP($E$4,'5.1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HLOOKUP($E$4,'5.1 Bilan'!$F$3:$BF$226,192,0)</f>
        <v>0</v>
      </c>
    </row>
    <row r="198" spans="3:6" x14ac:dyDescent="0.25">
      <c r="D198">
        <v>2911</v>
      </c>
      <c r="E198" t="s">
        <v>452</v>
      </c>
      <c r="F198" s="4">
        <f>HLOOKUP($E$4,'5.1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HLOOKUP($E$4,'5.1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HLOOKUP($E$4,'5.1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HLOOKUP($E$4,'5.1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HLOOKUP($E$4,'5.1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HLOOKUP($E$4,'5.1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HLOOKUP($E$4,'5.1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HLOOKUP($E$4,'5.1 Bilan'!$F$3:$BF$226,214,0)</f>
        <v>26545.08</v>
      </c>
    </row>
    <row r="220" spans="3:6" x14ac:dyDescent="0.25">
      <c r="D220">
        <v>2999</v>
      </c>
      <c r="E220" t="s">
        <v>595</v>
      </c>
      <c r="F220" s="4">
        <f>HLOOKUP($E$4,'5.1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HLOOKUP($E$4,'5.1 Bilan'!$F$3:$BF$226,218,0)</f>
        <v>41403.599999999999</v>
      </c>
    </row>
    <row r="224" spans="3:6" x14ac:dyDescent="0.25">
      <c r="D224">
        <v>2990</v>
      </c>
      <c r="E224" t="s">
        <v>605</v>
      </c>
      <c r="F224" s="4">
        <f>HLOOKUP($E$4,'5.1 Bilan'!$F$3:$BF$226,219,0)</f>
        <v>26545.08</v>
      </c>
    </row>
    <row r="225" spans="5:6" x14ac:dyDescent="0.25">
      <c r="F225" s="4"/>
    </row>
    <row r="226" spans="5:6" x14ac:dyDescent="0.25">
      <c r="E226" s="7" t="s">
        <v>604</v>
      </c>
      <c r="F226" s="4">
        <f>HLOOKUP($E$4,'5.1 Bilan'!$F$3:$BF$226,221,0)</f>
        <v>67948.679999999993</v>
      </c>
    </row>
    <row r="227" spans="5:6" x14ac:dyDescent="0.25">
      <c r="F227" s="4"/>
    </row>
    <row r="228" spans="5:6" x14ac:dyDescent="0.25">
      <c r="E228" s="60" t="s">
        <v>603</v>
      </c>
      <c r="F228" s="4">
        <f>HLOOKUP($E$4,'5.1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'5.1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opLeftCell="A109" workbookViewId="0">
      <selection activeCell="F210" sqref="F210"/>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'5.1 Bilan'!BG2</f>
        <v>73709</v>
      </c>
    </row>
    <row r="3" spans="1:6" x14ac:dyDescent="0.25">
      <c r="F3" s="47" t="s">
        <v>455</v>
      </c>
    </row>
    <row r="4" spans="1:6" ht="21" x14ac:dyDescent="0.35">
      <c r="A4" s="73">
        <v>1</v>
      </c>
      <c r="B4" s="73"/>
      <c r="C4" s="73"/>
      <c r="D4" s="73"/>
      <c r="E4" s="73" t="s">
        <v>246</v>
      </c>
      <c r="F4" s="87">
        <f>'5.1 Bilan'!BG4</f>
        <v>861770711.44999981</v>
      </c>
    </row>
    <row r="5" spans="1:6" x14ac:dyDescent="0.25">
      <c r="A5" s="78"/>
      <c r="B5" s="74">
        <v>10</v>
      </c>
      <c r="C5" s="74"/>
      <c r="D5" s="74"/>
      <c r="E5" s="74" t="s">
        <v>247</v>
      </c>
      <c r="F5" s="75">
        <f>'5.1 Bilan'!BG5</f>
        <v>335997335.88</v>
      </c>
    </row>
    <row r="6" spans="1:6" x14ac:dyDescent="0.25">
      <c r="A6" s="79"/>
      <c r="B6" s="79"/>
      <c r="C6" s="69">
        <v>100</v>
      </c>
      <c r="D6" s="69"/>
      <c r="E6" s="69" t="s">
        <v>248</v>
      </c>
      <c r="F6" s="70">
        <f>'5.1 Bilan'!BG6</f>
        <v>99127300.920000017</v>
      </c>
    </row>
    <row r="7" spans="1:6" x14ac:dyDescent="0.25">
      <c r="D7">
        <v>1000</v>
      </c>
      <c r="E7" t="s">
        <v>322</v>
      </c>
      <c r="F7" s="89">
        <f>'5.1 Bilan'!BG7</f>
        <v>254759.97999999992</v>
      </c>
    </row>
    <row r="8" spans="1:6" x14ac:dyDescent="0.25">
      <c r="D8">
        <v>1001</v>
      </c>
      <c r="E8" t="s">
        <v>323</v>
      </c>
      <c r="F8" s="89">
        <f>'5.1 Bilan'!BG8</f>
        <v>27891579.709999993</v>
      </c>
    </row>
    <row r="9" spans="1:6" x14ac:dyDescent="0.25">
      <c r="D9">
        <v>1002</v>
      </c>
      <c r="E9" t="s">
        <v>331</v>
      </c>
      <c r="F9" s="89">
        <f>'5.1 Bilan'!BG9</f>
        <v>70764675.660000011</v>
      </c>
    </row>
    <row r="10" spans="1:6" x14ac:dyDescent="0.25">
      <c r="D10">
        <v>1003</v>
      </c>
      <c r="E10" t="s">
        <v>324</v>
      </c>
      <c r="F10" s="89">
        <f>'5.1 Bilan'!BG10</f>
        <v>120000</v>
      </c>
    </row>
    <row r="11" spans="1:6" x14ac:dyDescent="0.25">
      <c r="D11">
        <v>1004</v>
      </c>
      <c r="E11" t="s">
        <v>325</v>
      </c>
      <c r="F11" s="89">
        <f>'5.1 Bilan'!BG11</f>
        <v>-7592.5199999999995</v>
      </c>
    </row>
    <row r="12" spans="1:6" x14ac:dyDescent="0.25">
      <c r="D12">
        <v>1009</v>
      </c>
      <c r="E12" t="s">
        <v>326</v>
      </c>
      <c r="F12" s="89">
        <f>'5.1 Bilan'!BG12</f>
        <v>103878.09000000001</v>
      </c>
    </row>
    <row r="13" spans="1:6" x14ac:dyDescent="0.25">
      <c r="F13" s="80"/>
    </row>
    <row r="14" spans="1:6" x14ac:dyDescent="0.25">
      <c r="A14" s="79"/>
      <c r="B14" s="79"/>
      <c r="C14" s="69">
        <v>101</v>
      </c>
      <c r="D14" s="69"/>
      <c r="E14" s="69" t="s">
        <v>249</v>
      </c>
      <c r="F14" s="70">
        <f>'5.1 Bilan'!BG14</f>
        <v>94364768.199999973</v>
      </c>
    </row>
    <row r="15" spans="1:6" x14ac:dyDescent="0.25">
      <c r="D15">
        <v>1010</v>
      </c>
      <c r="E15" t="s">
        <v>327</v>
      </c>
      <c r="F15" s="89">
        <f>'5.1 Bilan'!BG15</f>
        <v>30122169.16</v>
      </c>
    </row>
    <row r="16" spans="1:6" x14ac:dyDescent="0.25">
      <c r="D16">
        <v>1011</v>
      </c>
      <c r="E16" t="s">
        <v>408</v>
      </c>
      <c r="F16" s="89">
        <f>'5.1 Bilan'!BG16</f>
        <v>4853584.5599999996</v>
      </c>
    </row>
    <row r="17" spans="3:6" x14ac:dyDescent="0.25">
      <c r="D17">
        <v>1012</v>
      </c>
      <c r="E17" t="s">
        <v>328</v>
      </c>
      <c r="F17" s="89">
        <f>'5.1 Bilan'!BG17</f>
        <v>52783837.45000001</v>
      </c>
    </row>
    <row r="18" spans="3:6" x14ac:dyDescent="0.25">
      <c r="D18">
        <v>1013</v>
      </c>
      <c r="E18" t="s">
        <v>329</v>
      </c>
      <c r="F18" s="89">
        <f>'5.1 Bilan'!BG18</f>
        <v>557590.19999999995</v>
      </c>
    </row>
    <row r="19" spans="3:6" x14ac:dyDescent="0.25">
      <c r="D19">
        <v>1014</v>
      </c>
      <c r="E19" t="s">
        <v>330</v>
      </c>
      <c r="F19" s="89">
        <f>'5.1 Bilan'!BG19</f>
        <v>1492525.1600000001</v>
      </c>
    </row>
    <row r="20" spans="3:6" x14ac:dyDescent="0.25">
      <c r="D20">
        <v>1015</v>
      </c>
      <c r="E20" t="s">
        <v>332</v>
      </c>
      <c r="F20" s="89">
        <f>'5.1 Bilan'!BG20</f>
        <v>3872905.42</v>
      </c>
    </row>
    <row r="21" spans="3:6" x14ac:dyDescent="0.25">
      <c r="D21">
        <v>1016</v>
      </c>
      <c r="E21" t="s">
        <v>333</v>
      </c>
      <c r="F21" s="89">
        <f>'5.1 Bilan'!BG21</f>
        <v>34131.949999999997</v>
      </c>
    </row>
    <row r="22" spans="3:6" x14ac:dyDescent="0.25">
      <c r="D22">
        <v>1019</v>
      </c>
      <c r="E22" t="s">
        <v>334</v>
      </c>
      <c r="F22" s="89">
        <f>'5.1 Bilan'!BG22</f>
        <v>648024.30000000016</v>
      </c>
    </row>
    <row r="23" spans="3:6" x14ac:dyDescent="0.25">
      <c r="F23" s="80"/>
    </row>
    <row r="24" spans="3:6" x14ac:dyDescent="0.25">
      <c r="C24" s="69">
        <v>102</v>
      </c>
      <c r="D24" s="69"/>
      <c r="E24" s="69" t="s">
        <v>250</v>
      </c>
      <c r="F24" s="70">
        <f>'5.1 Bilan'!BG24</f>
        <v>771632.89</v>
      </c>
    </row>
    <row r="25" spans="3:6" x14ac:dyDescent="0.25">
      <c r="D25">
        <v>1020</v>
      </c>
      <c r="E25" t="s">
        <v>335</v>
      </c>
      <c r="F25" s="89">
        <f>'5.1 Bilan'!BG25</f>
        <v>771632.89</v>
      </c>
    </row>
    <row r="26" spans="3:6" x14ac:dyDescent="0.25">
      <c r="D26">
        <v>1022</v>
      </c>
      <c r="E26" t="s">
        <v>336</v>
      </c>
      <c r="F26" s="89">
        <f>'5.1 Bilan'!BG26</f>
        <v>0</v>
      </c>
    </row>
    <row r="27" spans="3:6" x14ac:dyDescent="0.25">
      <c r="D27">
        <v>1023</v>
      </c>
      <c r="E27" t="s">
        <v>337</v>
      </c>
      <c r="F27" s="89">
        <f>'5.1 Bilan'!BG27</f>
        <v>0</v>
      </c>
    </row>
    <row r="28" spans="3:6" x14ac:dyDescent="0.25">
      <c r="D28">
        <v>1029</v>
      </c>
      <c r="E28" t="s">
        <v>338</v>
      </c>
      <c r="F28" s="89">
        <f>'5.1 Bilan'!BG28</f>
        <v>0</v>
      </c>
    </row>
    <row r="29" spans="3:6" x14ac:dyDescent="0.25">
      <c r="F29" s="80"/>
    </row>
    <row r="30" spans="3:6" x14ac:dyDescent="0.25">
      <c r="C30" s="69">
        <v>104</v>
      </c>
      <c r="D30" s="69"/>
      <c r="E30" s="69" t="s">
        <v>251</v>
      </c>
      <c r="F30" s="70">
        <f>'5.1 Bilan'!BG30</f>
        <v>25785773.98</v>
      </c>
    </row>
    <row r="31" spans="3:6" x14ac:dyDescent="0.25">
      <c r="D31">
        <v>1040</v>
      </c>
      <c r="E31" t="s">
        <v>61</v>
      </c>
      <c r="F31" s="89">
        <f>'5.1 Bilan'!BG31</f>
        <v>39965.65</v>
      </c>
    </row>
    <row r="32" spans="3:6" x14ac:dyDescent="0.25">
      <c r="D32">
        <v>1041</v>
      </c>
      <c r="E32" t="s">
        <v>339</v>
      </c>
      <c r="F32" s="89">
        <f>'5.1 Bilan'!BG32</f>
        <v>10969351.049999999</v>
      </c>
    </row>
    <row r="33" spans="3:6" x14ac:dyDescent="0.25">
      <c r="D33">
        <v>1042</v>
      </c>
      <c r="E33" t="s">
        <v>340</v>
      </c>
      <c r="F33" s="89">
        <f>'5.1 Bilan'!BG33</f>
        <v>4405255.2</v>
      </c>
    </row>
    <row r="34" spans="3:6" x14ac:dyDescent="0.25">
      <c r="D34">
        <v>1043</v>
      </c>
      <c r="E34" t="s">
        <v>341</v>
      </c>
      <c r="F34" s="89">
        <f>'5.1 Bilan'!BG34</f>
        <v>7376301.3900000015</v>
      </c>
    </row>
    <row r="35" spans="3:6" x14ac:dyDescent="0.25">
      <c r="D35">
        <v>1044</v>
      </c>
      <c r="E35" t="s">
        <v>342</v>
      </c>
      <c r="F35" s="89">
        <f>'5.1 Bilan'!BG35</f>
        <v>409798.27</v>
      </c>
    </row>
    <row r="36" spans="3:6" x14ac:dyDescent="0.25">
      <c r="D36">
        <v>1045</v>
      </c>
      <c r="E36" t="s">
        <v>343</v>
      </c>
      <c r="F36" s="89">
        <f>'5.1 Bilan'!BG36</f>
        <v>1151943.23</v>
      </c>
    </row>
    <row r="37" spans="3:6" x14ac:dyDescent="0.25">
      <c r="D37">
        <v>1046</v>
      </c>
      <c r="E37" t="s">
        <v>344</v>
      </c>
      <c r="F37" s="89">
        <f>'5.1 Bilan'!BG37</f>
        <v>662913</v>
      </c>
    </row>
    <row r="38" spans="3:6" x14ac:dyDescent="0.25">
      <c r="D38">
        <v>1049</v>
      </c>
      <c r="E38" t="s">
        <v>345</v>
      </c>
      <c r="F38" s="89">
        <f>'5.1 Bilan'!BG38</f>
        <v>770246.19000000006</v>
      </c>
    </row>
    <row r="39" spans="3:6" x14ac:dyDescent="0.25">
      <c r="F39" s="80"/>
    </row>
    <row r="40" spans="3:6" x14ac:dyDescent="0.25">
      <c r="C40" s="69">
        <v>106</v>
      </c>
      <c r="D40" s="69"/>
      <c r="E40" s="69" t="s">
        <v>252</v>
      </c>
      <c r="F40" s="70">
        <f>'5.1 Bilan'!BG40</f>
        <v>1675915.7799999998</v>
      </c>
    </row>
    <row r="41" spans="3:6" x14ac:dyDescent="0.25">
      <c r="D41">
        <v>1060</v>
      </c>
      <c r="E41" t="s">
        <v>346</v>
      </c>
      <c r="F41" s="89">
        <f>'5.1 Bilan'!BG41</f>
        <v>43828.3</v>
      </c>
    </row>
    <row r="42" spans="3:6" x14ac:dyDescent="0.25">
      <c r="D42">
        <v>1061</v>
      </c>
      <c r="E42" t="s">
        <v>347</v>
      </c>
      <c r="F42" s="89">
        <f>'5.1 Bilan'!BG42</f>
        <v>871494.88</v>
      </c>
    </row>
    <row r="43" spans="3:6" x14ac:dyDescent="0.25">
      <c r="D43">
        <v>1062</v>
      </c>
      <c r="E43" t="s">
        <v>348</v>
      </c>
      <c r="F43" s="89">
        <f>'5.1 Bilan'!BG43</f>
        <v>0</v>
      </c>
    </row>
    <row r="44" spans="3:6" x14ac:dyDescent="0.25">
      <c r="D44">
        <v>1063</v>
      </c>
      <c r="E44" t="s">
        <v>349</v>
      </c>
      <c r="F44" s="89">
        <f>'5.1 Bilan'!BG44</f>
        <v>760592.6</v>
      </c>
    </row>
    <row r="45" spans="3:6" x14ac:dyDescent="0.25">
      <c r="D45">
        <v>1068</v>
      </c>
      <c r="E45" t="s">
        <v>350</v>
      </c>
      <c r="F45" s="89">
        <f>'5.1 Bilan'!BG45</f>
        <v>0</v>
      </c>
    </row>
    <row r="46" spans="3:6" x14ac:dyDescent="0.25">
      <c r="F46" s="80"/>
    </row>
    <row r="47" spans="3:6" x14ac:dyDescent="0.25">
      <c r="C47" s="69">
        <v>107</v>
      </c>
      <c r="D47" s="69"/>
      <c r="E47" s="69" t="s">
        <v>355</v>
      </c>
      <c r="F47" s="70">
        <f>'5.1 Bilan'!BG47</f>
        <v>16335060.810000001</v>
      </c>
    </row>
    <row r="48" spans="3:6" x14ac:dyDescent="0.25">
      <c r="D48">
        <v>1070</v>
      </c>
      <c r="E48" t="s">
        <v>351</v>
      </c>
      <c r="F48" s="89">
        <f>'5.1 Bilan'!BG48</f>
        <v>4503443</v>
      </c>
    </row>
    <row r="49" spans="3:6" x14ac:dyDescent="0.25">
      <c r="D49">
        <v>1071</v>
      </c>
      <c r="E49" t="s">
        <v>352</v>
      </c>
      <c r="F49" s="89">
        <f>'5.1 Bilan'!BG49</f>
        <v>11804887.810000001</v>
      </c>
    </row>
    <row r="50" spans="3:6" x14ac:dyDescent="0.25">
      <c r="D50">
        <v>1072</v>
      </c>
      <c r="E50" t="s">
        <v>353</v>
      </c>
      <c r="F50" s="89">
        <f>'5.1 Bilan'!BG50</f>
        <v>26730</v>
      </c>
    </row>
    <row r="51" spans="3:6" x14ac:dyDescent="0.25">
      <c r="D51">
        <v>1079</v>
      </c>
      <c r="E51" t="s">
        <v>354</v>
      </c>
      <c r="F51" s="89">
        <f>'5.1 Bilan'!BG51</f>
        <v>0</v>
      </c>
    </row>
    <row r="52" spans="3:6" x14ac:dyDescent="0.25">
      <c r="F52" s="80"/>
    </row>
    <row r="53" spans="3:6" x14ac:dyDescent="0.25">
      <c r="C53" s="69">
        <v>108</v>
      </c>
      <c r="D53" s="69"/>
      <c r="E53" s="69" t="s">
        <v>253</v>
      </c>
      <c r="F53" s="70">
        <f>'5.1 Bilan'!BG53</f>
        <v>97936883.300000012</v>
      </c>
    </row>
    <row r="54" spans="3:6" x14ac:dyDescent="0.25">
      <c r="D54">
        <v>1080</v>
      </c>
      <c r="E54" t="s">
        <v>356</v>
      </c>
      <c r="F54" s="89">
        <f>'5.1 Bilan'!BG54</f>
        <v>42840556.909999996</v>
      </c>
    </row>
    <row r="55" spans="3:6" x14ac:dyDescent="0.25">
      <c r="D55">
        <v>1084</v>
      </c>
      <c r="E55" t="s">
        <v>357</v>
      </c>
      <c r="F55" s="89">
        <f>'5.1 Bilan'!BG55</f>
        <v>50584681.700000003</v>
      </c>
    </row>
    <row r="56" spans="3:6" x14ac:dyDescent="0.25">
      <c r="D56">
        <v>1086</v>
      </c>
      <c r="E56" t="s">
        <v>358</v>
      </c>
      <c r="F56" s="89">
        <f>'5.1 Bilan'!BG56</f>
        <v>0</v>
      </c>
    </row>
    <row r="57" spans="3:6" x14ac:dyDescent="0.25">
      <c r="D57">
        <v>1087</v>
      </c>
      <c r="E57" t="s">
        <v>359</v>
      </c>
      <c r="F57" s="89">
        <f>'5.1 Bilan'!BG57</f>
        <v>4511644.6900000004</v>
      </c>
    </row>
    <row r="58" spans="3:6" x14ac:dyDescent="0.25">
      <c r="D58">
        <v>1088</v>
      </c>
      <c r="E58" t="s">
        <v>360</v>
      </c>
      <c r="F58" s="89">
        <f>'5.1 Bilan'!BG58</f>
        <v>0</v>
      </c>
    </row>
    <row r="59" spans="3:6" x14ac:dyDescent="0.25">
      <c r="D59">
        <v>1089</v>
      </c>
      <c r="E59" t="s">
        <v>361</v>
      </c>
      <c r="F59" s="89">
        <f>'5.1 Bilan'!BG59</f>
        <v>0</v>
      </c>
    </row>
    <row r="60" spans="3:6" x14ac:dyDescent="0.25">
      <c r="F60" s="80"/>
    </row>
    <row r="61" spans="3:6" x14ac:dyDescent="0.25">
      <c r="C61" s="69">
        <v>109</v>
      </c>
      <c r="D61" s="69"/>
      <c r="E61" s="69" t="s">
        <v>362</v>
      </c>
      <c r="F61" s="70">
        <f>'5.1 Bilan'!BG61</f>
        <v>0</v>
      </c>
    </row>
    <row r="62" spans="3:6" x14ac:dyDescent="0.25">
      <c r="D62">
        <v>1090</v>
      </c>
      <c r="E62" t="s">
        <v>362</v>
      </c>
      <c r="F62" s="89">
        <f>'5.1 Bilan'!BG62</f>
        <v>0</v>
      </c>
    </row>
    <row r="63" spans="3:6" x14ac:dyDescent="0.25">
      <c r="D63">
        <v>1091</v>
      </c>
      <c r="E63" t="s">
        <v>363</v>
      </c>
      <c r="F63" s="89">
        <f>'5.1 Bilan'!BG63</f>
        <v>0</v>
      </c>
    </row>
    <row r="64" spans="3:6" x14ac:dyDescent="0.25">
      <c r="D64">
        <v>1092</v>
      </c>
      <c r="E64" t="s">
        <v>364</v>
      </c>
      <c r="F64" s="89">
        <f>'5.1 Bilan'!BG64</f>
        <v>0</v>
      </c>
    </row>
    <row r="65" spans="2:6" x14ac:dyDescent="0.25">
      <c r="D65">
        <v>1093</v>
      </c>
      <c r="E65" t="s">
        <v>365</v>
      </c>
      <c r="F65" s="89">
        <f>'5.1 Bilan'!BG65</f>
        <v>0</v>
      </c>
    </row>
    <row r="66" spans="2:6" x14ac:dyDescent="0.25">
      <c r="F66" s="80"/>
    </row>
    <row r="67" spans="2:6" x14ac:dyDescent="0.25">
      <c r="B67" s="74">
        <v>14</v>
      </c>
      <c r="C67" s="74"/>
      <c r="D67" s="74"/>
      <c r="E67" s="74" t="s">
        <v>254</v>
      </c>
      <c r="F67" s="75">
        <f>'5.1 Bilan'!BG67</f>
        <v>525773375.56999987</v>
      </c>
    </row>
    <row r="68" spans="2:6" x14ac:dyDescent="0.25">
      <c r="C68" s="69">
        <v>140</v>
      </c>
      <c r="D68" s="69"/>
      <c r="E68" s="69" t="s">
        <v>256</v>
      </c>
      <c r="F68" s="90">
        <f>'5.1 Bilan'!BG68</f>
        <v>511717000.63999999</v>
      </c>
    </row>
    <row r="69" spans="2:6" x14ac:dyDescent="0.25">
      <c r="D69">
        <v>1400</v>
      </c>
      <c r="E69" t="s">
        <v>366</v>
      </c>
      <c r="F69" s="89">
        <f>'5.1 Bilan'!BG69</f>
        <v>36375514.219999999</v>
      </c>
    </row>
    <row r="70" spans="2:6" x14ac:dyDescent="0.25">
      <c r="D70">
        <v>1401</v>
      </c>
      <c r="E70" t="s">
        <v>367</v>
      </c>
      <c r="F70" s="89">
        <f>'5.1 Bilan'!BG70</f>
        <v>97337341.24000001</v>
      </c>
    </row>
    <row r="71" spans="2:6" x14ac:dyDescent="0.25">
      <c r="D71">
        <v>1402</v>
      </c>
      <c r="E71" t="s">
        <v>368</v>
      </c>
      <c r="F71" s="89">
        <f>'5.1 Bilan'!BG71</f>
        <v>4496754.8100000005</v>
      </c>
    </row>
    <row r="72" spans="2:6" x14ac:dyDescent="0.25">
      <c r="D72">
        <v>1403</v>
      </c>
      <c r="E72" t="s">
        <v>369</v>
      </c>
      <c r="F72" s="89">
        <f>'5.1 Bilan'!BG72</f>
        <v>101140077.73</v>
      </c>
    </row>
    <row r="73" spans="2:6" x14ac:dyDescent="0.25">
      <c r="D73">
        <v>1404</v>
      </c>
      <c r="E73" t="s">
        <v>370</v>
      </c>
      <c r="F73" s="89">
        <f>'5.1 Bilan'!BG73</f>
        <v>202865702.13999999</v>
      </c>
    </row>
    <row r="74" spans="2:6" x14ac:dyDescent="0.25">
      <c r="D74">
        <v>1405</v>
      </c>
      <c r="E74" t="s">
        <v>371</v>
      </c>
      <c r="F74" s="89">
        <f>'5.1 Bilan'!BG74</f>
        <v>32445814.75</v>
      </c>
    </row>
    <row r="75" spans="2:6" x14ac:dyDescent="0.25">
      <c r="D75">
        <v>1406</v>
      </c>
      <c r="E75" t="s">
        <v>372</v>
      </c>
      <c r="F75" s="89">
        <f>'5.1 Bilan'!BG75</f>
        <v>7719132.4899999993</v>
      </c>
    </row>
    <row r="76" spans="2:6" x14ac:dyDescent="0.25">
      <c r="D76">
        <v>1407</v>
      </c>
      <c r="E76" t="s">
        <v>373</v>
      </c>
      <c r="F76" s="89">
        <f>'5.1 Bilan'!BG76</f>
        <v>24152115.509999998</v>
      </c>
    </row>
    <row r="77" spans="2:6" x14ac:dyDescent="0.25">
      <c r="D77">
        <v>1409</v>
      </c>
      <c r="E77" t="s">
        <v>374</v>
      </c>
      <c r="F77" s="89">
        <f>'5.1 Bilan'!BG77</f>
        <v>5184547.75</v>
      </c>
    </row>
    <row r="78" spans="2:6" x14ac:dyDescent="0.25">
      <c r="F78" s="80"/>
    </row>
    <row r="79" spans="2:6" x14ac:dyDescent="0.25">
      <c r="C79" s="69">
        <v>142</v>
      </c>
      <c r="D79" s="69"/>
      <c r="E79" s="69" t="s">
        <v>255</v>
      </c>
      <c r="F79" s="70">
        <f>'5.1 Bilan'!BG79</f>
        <v>6283090.4400000013</v>
      </c>
    </row>
    <row r="80" spans="2:6" x14ac:dyDescent="0.25">
      <c r="D80">
        <v>1420</v>
      </c>
      <c r="E80" t="s">
        <v>375</v>
      </c>
      <c r="F80" s="89">
        <f>'5.1 Bilan'!BG80</f>
        <v>177167.2</v>
      </c>
    </row>
    <row r="81" spans="3:6" x14ac:dyDescent="0.25">
      <c r="D81">
        <v>1421</v>
      </c>
      <c r="E81" t="s">
        <v>376</v>
      </c>
      <c r="F81" s="89">
        <f>'5.1 Bilan'!BG81</f>
        <v>0</v>
      </c>
    </row>
    <row r="82" spans="3:6" x14ac:dyDescent="0.25">
      <c r="F82" s="80"/>
    </row>
    <row r="83" spans="3:6" x14ac:dyDescent="0.25">
      <c r="C83" s="69">
        <v>144</v>
      </c>
      <c r="D83" s="69"/>
      <c r="E83" s="69" t="s">
        <v>257</v>
      </c>
      <c r="F83" s="70">
        <f>'5.1 Bilan'!BG85</f>
        <v>2559580</v>
      </c>
    </row>
    <row r="84" spans="3:6" x14ac:dyDescent="0.25">
      <c r="D84">
        <v>1440</v>
      </c>
      <c r="E84" t="s">
        <v>377</v>
      </c>
      <c r="F84" s="89">
        <f>'5.1 Bilan'!BG86</f>
        <v>0</v>
      </c>
    </row>
    <row r="85" spans="3:6" x14ac:dyDescent="0.25">
      <c r="D85">
        <v>1441</v>
      </c>
      <c r="E85" t="s">
        <v>379</v>
      </c>
      <c r="F85" s="89">
        <f>'5.1 Bilan'!BG87</f>
        <v>0</v>
      </c>
    </row>
    <row r="86" spans="3:6" x14ac:dyDescent="0.25">
      <c r="D86">
        <v>1442</v>
      </c>
      <c r="E86" t="s">
        <v>378</v>
      </c>
      <c r="F86" s="89">
        <f>'5.1 Bilan'!BG88</f>
        <v>1685361</v>
      </c>
    </row>
    <row r="87" spans="3:6" x14ac:dyDescent="0.25">
      <c r="D87">
        <v>1443</v>
      </c>
      <c r="E87" t="s">
        <v>380</v>
      </c>
      <c r="F87" s="89">
        <f>'5.1 Bilan'!BG89</f>
        <v>0</v>
      </c>
    </row>
    <row r="88" spans="3:6" x14ac:dyDescent="0.25">
      <c r="D88">
        <v>1444</v>
      </c>
      <c r="E88" t="s">
        <v>381</v>
      </c>
      <c r="F88" s="89">
        <f>'5.1 Bilan'!BG90</f>
        <v>0</v>
      </c>
    </row>
    <row r="89" spans="3:6" x14ac:dyDescent="0.25">
      <c r="D89">
        <v>1445</v>
      </c>
      <c r="E89" t="s">
        <v>382</v>
      </c>
      <c r="F89" s="89">
        <f>'5.1 Bilan'!BG91</f>
        <v>438477.6</v>
      </c>
    </row>
    <row r="90" spans="3:6" x14ac:dyDescent="0.25">
      <c r="D90">
        <v>1446</v>
      </c>
      <c r="E90" t="s">
        <v>383</v>
      </c>
      <c r="F90" s="89">
        <f>'5.1 Bilan'!BG92</f>
        <v>435741.4</v>
      </c>
    </row>
    <row r="91" spans="3:6" x14ac:dyDescent="0.25">
      <c r="D91">
        <v>1447</v>
      </c>
      <c r="E91" t="s">
        <v>384</v>
      </c>
      <c r="F91" s="89">
        <f>'5.1 Bilan'!BG93</f>
        <v>0</v>
      </c>
    </row>
    <row r="92" spans="3:6" x14ac:dyDescent="0.25">
      <c r="D92">
        <v>1448</v>
      </c>
      <c r="E92" t="s">
        <v>385</v>
      </c>
      <c r="F92" s="89">
        <f>'5.1 Bilan'!BG94</f>
        <v>0</v>
      </c>
    </row>
    <row r="93" spans="3:6" x14ac:dyDescent="0.25">
      <c r="F93" s="80"/>
    </row>
    <row r="94" spans="3:6" x14ac:dyDescent="0.25">
      <c r="C94" s="69">
        <v>145</v>
      </c>
      <c r="D94" s="69"/>
      <c r="E94" s="69" t="s">
        <v>388</v>
      </c>
      <c r="F94" s="70">
        <f>'5.1 Bilan'!BG96</f>
        <v>4253676.3900000006</v>
      </c>
    </row>
    <row r="95" spans="3:6" x14ac:dyDescent="0.25">
      <c r="D95">
        <v>1450</v>
      </c>
      <c r="E95" t="s">
        <v>387</v>
      </c>
      <c r="F95" s="89">
        <f>'5.1 Bilan'!BG97</f>
        <v>1</v>
      </c>
    </row>
    <row r="96" spans="3:6" x14ac:dyDescent="0.25">
      <c r="D96">
        <v>1451</v>
      </c>
      <c r="E96" t="s">
        <v>386</v>
      </c>
      <c r="F96" s="89">
        <f>'5.1 Bilan'!BG98</f>
        <v>0</v>
      </c>
    </row>
    <row r="97" spans="3:6" x14ac:dyDescent="0.25">
      <c r="D97">
        <v>1452</v>
      </c>
      <c r="E97" t="s">
        <v>389</v>
      </c>
      <c r="F97" s="89">
        <f>'5.1 Bilan'!BG99</f>
        <v>480297</v>
      </c>
    </row>
    <row r="98" spans="3:6" x14ac:dyDescent="0.25">
      <c r="D98">
        <v>1453</v>
      </c>
      <c r="E98" t="s">
        <v>390</v>
      </c>
      <c r="F98" s="89">
        <f>'5.1 Bilan'!BG100</f>
        <v>0</v>
      </c>
    </row>
    <row r="99" spans="3:6" x14ac:dyDescent="0.25">
      <c r="D99">
        <v>1454</v>
      </c>
      <c r="E99" t="s">
        <v>391</v>
      </c>
      <c r="F99" s="89">
        <f>'5.1 Bilan'!BG101</f>
        <v>613606</v>
      </c>
    </row>
    <row r="100" spans="3:6" x14ac:dyDescent="0.25">
      <c r="D100">
        <v>1455</v>
      </c>
      <c r="E100" t="s">
        <v>392</v>
      </c>
      <c r="F100" s="89">
        <f>'5.1 Bilan'!BG102</f>
        <v>3016672.39</v>
      </c>
    </row>
    <row r="101" spans="3:6" x14ac:dyDescent="0.25">
      <c r="D101">
        <v>1456</v>
      </c>
      <c r="E101" t="s">
        <v>393</v>
      </c>
      <c r="F101" s="89">
        <f>'5.1 Bilan'!BG103</f>
        <v>143100</v>
      </c>
    </row>
    <row r="102" spans="3:6" x14ac:dyDescent="0.25">
      <c r="D102">
        <v>1457</v>
      </c>
      <c r="E102" t="s">
        <v>394</v>
      </c>
      <c r="F102" s="89">
        <f>'5.1 Bilan'!BG104</f>
        <v>0</v>
      </c>
    </row>
    <row r="103" spans="3:6" x14ac:dyDescent="0.25">
      <c r="D103">
        <v>1458</v>
      </c>
      <c r="E103" t="s">
        <v>395</v>
      </c>
      <c r="F103" s="89">
        <f>'5.1 Bilan'!BG105</f>
        <v>0</v>
      </c>
    </row>
    <row r="104" spans="3:6" x14ac:dyDescent="0.25">
      <c r="F104" s="80"/>
    </row>
    <row r="105" spans="3:6" x14ac:dyDescent="0.25">
      <c r="C105" s="69">
        <v>146</v>
      </c>
      <c r="D105" s="69"/>
      <c r="E105" s="69" t="s">
        <v>406</v>
      </c>
      <c r="F105" s="70">
        <f>'5.1 Bilan'!BG107</f>
        <v>960028.1</v>
      </c>
    </row>
    <row r="106" spans="3:6" x14ac:dyDescent="0.25">
      <c r="D106">
        <v>1460</v>
      </c>
      <c r="E106" t="s">
        <v>403</v>
      </c>
      <c r="F106" s="89">
        <f>'5.1 Bilan'!BG108</f>
        <v>0</v>
      </c>
    </row>
    <row r="107" spans="3:6" x14ac:dyDescent="0.25">
      <c r="D107">
        <v>1461</v>
      </c>
      <c r="E107" t="s">
        <v>404</v>
      </c>
      <c r="F107" s="89">
        <f>'5.1 Bilan'!BG109</f>
        <v>0</v>
      </c>
    </row>
    <row r="108" spans="3:6" x14ac:dyDescent="0.25">
      <c r="D108">
        <v>1462</v>
      </c>
      <c r="E108" t="s">
        <v>396</v>
      </c>
      <c r="F108" s="89">
        <f>'5.1 Bilan'!BG110</f>
        <v>854778.1</v>
      </c>
    </row>
    <row r="109" spans="3:6" x14ac:dyDescent="0.25">
      <c r="D109">
        <v>1463</v>
      </c>
      <c r="E109" t="s">
        <v>397</v>
      </c>
      <c r="F109" s="89">
        <f>'5.1 Bilan'!BG111</f>
        <v>0</v>
      </c>
    </row>
    <row r="110" spans="3:6" x14ac:dyDescent="0.25">
      <c r="D110">
        <v>1464</v>
      </c>
      <c r="E110" t="s">
        <v>398</v>
      </c>
      <c r="F110" s="89">
        <f>'5.1 Bilan'!BG112</f>
        <v>10000</v>
      </c>
    </row>
    <row r="111" spans="3:6" x14ac:dyDescent="0.25">
      <c r="D111">
        <v>1465</v>
      </c>
      <c r="E111" t="s">
        <v>399</v>
      </c>
      <c r="F111" s="89">
        <f>'5.1 Bilan'!BG113</f>
        <v>47250</v>
      </c>
    </row>
    <row r="112" spans="3:6" x14ac:dyDescent="0.25">
      <c r="D112">
        <v>1466</v>
      </c>
      <c r="E112" t="s">
        <v>405</v>
      </c>
      <c r="F112" s="89">
        <f>'5.1 Bilan'!BG114</f>
        <v>48000</v>
      </c>
    </row>
    <row r="113" spans="1:6" x14ac:dyDescent="0.25">
      <c r="D113">
        <v>1467</v>
      </c>
      <c r="E113" t="s">
        <v>400</v>
      </c>
      <c r="F113" s="89">
        <f>'5.1 Bilan'!BG115</f>
        <v>0</v>
      </c>
    </row>
    <row r="114" spans="1:6" x14ac:dyDescent="0.25">
      <c r="D114">
        <v>1468</v>
      </c>
      <c r="E114" t="s">
        <v>401</v>
      </c>
      <c r="F114" s="89">
        <f>'5.1 Bilan'!BG116</f>
        <v>0</v>
      </c>
    </row>
    <row r="115" spans="1:6" x14ac:dyDescent="0.25">
      <c r="D115">
        <v>1469</v>
      </c>
      <c r="E115" t="s">
        <v>402</v>
      </c>
      <c r="F115" s="89">
        <f>'5.1 Bilan'!BG117</f>
        <v>0</v>
      </c>
    </row>
    <row r="116" spans="1:6" x14ac:dyDescent="0.25">
      <c r="F116" s="80"/>
    </row>
    <row r="117" spans="1:6" x14ac:dyDescent="0.25">
      <c r="F117" s="80"/>
    </row>
    <row r="118" spans="1:6" ht="21" x14ac:dyDescent="0.35">
      <c r="A118" s="81">
        <v>2</v>
      </c>
      <c r="B118" s="81"/>
      <c r="C118" s="81"/>
      <c r="D118" s="81"/>
      <c r="E118" s="81" t="s">
        <v>258</v>
      </c>
      <c r="F118" s="88">
        <f>'5.1 Bilan'!BG120</f>
        <v>861770711.44999981</v>
      </c>
    </row>
    <row r="119" spans="1:6" x14ac:dyDescent="0.25">
      <c r="A119" s="7"/>
      <c r="B119" s="85">
        <v>20</v>
      </c>
      <c r="C119" s="85"/>
      <c r="D119" s="85"/>
      <c r="E119" s="85" t="s">
        <v>259</v>
      </c>
      <c r="F119" s="86">
        <f>'5.1 Bilan'!BG121</f>
        <v>621330284.08999991</v>
      </c>
    </row>
    <row r="120" spans="1:6" x14ac:dyDescent="0.25">
      <c r="C120" s="83">
        <v>200</v>
      </c>
      <c r="D120" s="83"/>
      <c r="E120" s="83" t="s">
        <v>260</v>
      </c>
      <c r="F120" s="84">
        <f>'5.1 Bilan'!BG122</f>
        <v>42823231.329999983</v>
      </c>
    </row>
    <row r="121" spans="1:6" x14ac:dyDescent="0.25">
      <c r="D121">
        <v>2000</v>
      </c>
      <c r="E121" t="s">
        <v>407</v>
      </c>
      <c r="F121" s="89">
        <f>'5.1 Bilan'!BG123</f>
        <v>23529693.860000003</v>
      </c>
    </row>
    <row r="122" spans="1:6" x14ac:dyDescent="0.25">
      <c r="D122">
        <v>2001</v>
      </c>
      <c r="E122" t="s">
        <v>408</v>
      </c>
      <c r="F122" s="89">
        <f>'5.1 Bilan'!BG124</f>
        <v>3171912.0100000002</v>
      </c>
    </row>
    <row r="123" spans="1:6" x14ac:dyDescent="0.25">
      <c r="D123">
        <v>2002</v>
      </c>
      <c r="E123" t="s">
        <v>409</v>
      </c>
      <c r="F123" s="89">
        <f>'5.1 Bilan'!BG125</f>
        <v>2993223.6100000008</v>
      </c>
    </row>
    <row r="124" spans="1:6" x14ac:dyDescent="0.25">
      <c r="D124">
        <v>2003</v>
      </c>
      <c r="E124" t="s">
        <v>410</v>
      </c>
      <c r="F124" s="89">
        <f>'5.1 Bilan'!BG126</f>
        <v>22500</v>
      </c>
    </row>
    <row r="125" spans="1:6" x14ac:dyDescent="0.25">
      <c r="D125">
        <v>2004</v>
      </c>
      <c r="E125" t="s">
        <v>411</v>
      </c>
      <c r="F125" s="89">
        <f>'5.1 Bilan'!BG127</f>
        <v>582535.15</v>
      </c>
    </row>
    <row r="126" spans="1:6" x14ac:dyDescent="0.25">
      <c r="D126">
        <v>2005</v>
      </c>
      <c r="E126" t="s">
        <v>332</v>
      </c>
      <c r="F126" s="89">
        <f>'5.1 Bilan'!BG128</f>
        <v>3920798.34</v>
      </c>
    </row>
    <row r="127" spans="1:6" x14ac:dyDescent="0.25">
      <c r="D127">
        <v>2006</v>
      </c>
      <c r="E127" t="s">
        <v>412</v>
      </c>
      <c r="F127" s="89">
        <f>'5.1 Bilan'!BG129</f>
        <v>8598784.0099999998</v>
      </c>
    </row>
    <row r="128" spans="1:6" x14ac:dyDescent="0.25">
      <c r="D128">
        <v>2009</v>
      </c>
      <c r="E128" t="s">
        <v>413</v>
      </c>
      <c r="F128" s="89">
        <f>'5.1 Bilan'!BG130</f>
        <v>3784.35</v>
      </c>
    </row>
    <row r="129" spans="3:6" x14ac:dyDescent="0.25">
      <c r="F129" s="80"/>
    </row>
    <row r="130" spans="3:6" x14ac:dyDescent="0.25">
      <c r="C130" s="83">
        <v>201</v>
      </c>
      <c r="D130" s="83"/>
      <c r="E130" s="83" t="s">
        <v>261</v>
      </c>
      <c r="F130" s="84">
        <f>'5.1 Bilan'!BG132</f>
        <v>111929283.70000002</v>
      </c>
    </row>
    <row r="131" spans="3:6" x14ac:dyDescent="0.25">
      <c r="D131">
        <v>2010</v>
      </c>
      <c r="E131" t="s">
        <v>414</v>
      </c>
      <c r="F131" s="89">
        <f>'5.1 Bilan'!BG133</f>
        <v>27556979.050000001</v>
      </c>
    </row>
    <row r="132" spans="3:6" x14ac:dyDescent="0.25">
      <c r="D132">
        <v>2011</v>
      </c>
      <c r="E132" t="s">
        <v>415</v>
      </c>
      <c r="F132" s="89">
        <f>'5.1 Bilan'!BG134</f>
        <v>9204700.4700000007</v>
      </c>
    </row>
    <row r="133" spans="3:6" x14ac:dyDescent="0.25">
      <c r="D133">
        <v>2012</v>
      </c>
      <c r="E133" t="s">
        <v>416</v>
      </c>
      <c r="F133" s="89">
        <f>'5.1 Bilan'!BG135</f>
        <v>0</v>
      </c>
    </row>
    <row r="134" spans="3:6" x14ac:dyDescent="0.25">
      <c r="D134">
        <v>2013</v>
      </c>
      <c r="E134" t="s">
        <v>417</v>
      </c>
      <c r="F134" s="89">
        <f>'5.1 Bilan'!BG136</f>
        <v>69173.899999999994</v>
      </c>
    </row>
    <row r="135" spans="3:6" x14ac:dyDescent="0.25">
      <c r="D135">
        <v>2014</v>
      </c>
      <c r="E135" t="s">
        <v>419</v>
      </c>
      <c r="F135" s="89">
        <f>'5.1 Bilan'!BG137</f>
        <v>74600713.040000007</v>
      </c>
    </row>
    <row r="136" spans="3:6" x14ac:dyDescent="0.25">
      <c r="D136">
        <v>2015</v>
      </c>
      <c r="E136" t="s">
        <v>418</v>
      </c>
      <c r="F136" s="89">
        <f>'5.1 Bilan'!BG138</f>
        <v>0</v>
      </c>
    </row>
    <row r="137" spans="3:6" x14ac:dyDescent="0.25">
      <c r="D137">
        <v>2016</v>
      </c>
      <c r="E137" t="s">
        <v>276</v>
      </c>
      <c r="F137" s="89">
        <f>'5.1 Bilan'!BG139</f>
        <v>0</v>
      </c>
    </row>
    <row r="138" spans="3:6" x14ac:dyDescent="0.25">
      <c r="D138">
        <v>2019</v>
      </c>
      <c r="E138" t="s">
        <v>420</v>
      </c>
      <c r="F138" s="89">
        <f>'5.1 Bilan'!BG140</f>
        <v>497717.24</v>
      </c>
    </row>
    <row r="139" spans="3:6" x14ac:dyDescent="0.25">
      <c r="F139" s="80"/>
    </row>
    <row r="140" spans="3:6" x14ac:dyDescent="0.25">
      <c r="C140" s="83">
        <v>204</v>
      </c>
      <c r="D140" s="83"/>
      <c r="E140" s="83" t="s">
        <v>262</v>
      </c>
      <c r="F140" s="84">
        <f>'5.1 Bilan'!BG142</f>
        <v>16764158.679999996</v>
      </c>
    </row>
    <row r="141" spans="3:6" x14ac:dyDescent="0.25">
      <c r="D141">
        <v>2040</v>
      </c>
      <c r="E141" t="s">
        <v>61</v>
      </c>
      <c r="F141" s="89">
        <f>'5.1 Bilan'!BG143</f>
        <v>606792.1</v>
      </c>
    </row>
    <row r="142" spans="3:6" x14ac:dyDescent="0.25">
      <c r="D142">
        <v>2041</v>
      </c>
      <c r="E142" t="s">
        <v>284</v>
      </c>
      <c r="F142" s="89">
        <f>'5.1 Bilan'!BG144</f>
        <v>9000023.2399999984</v>
      </c>
    </row>
    <row r="143" spans="3:6" x14ac:dyDescent="0.25">
      <c r="D143">
        <v>2042</v>
      </c>
      <c r="E143" t="s">
        <v>340</v>
      </c>
      <c r="F143" s="89">
        <f>'5.1 Bilan'!BG145</f>
        <v>4480884.2799999993</v>
      </c>
    </row>
    <row r="144" spans="3:6" x14ac:dyDescent="0.25">
      <c r="D144">
        <v>2043</v>
      </c>
      <c r="E144" t="s">
        <v>341</v>
      </c>
      <c r="F144" s="89">
        <f>'5.1 Bilan'!BG146</f>
        <v>1656010.9600000002</v>
      </c>
    </row>
    <row r="145" spans="3:6" x14ac:dyDescent="0.25">
      <c r="D145">
        <v>2044</v>
      </c>
      <c r="E145" t="s">
        <v>421</v>
      </c>
      <c r="F145" s="89">
        <f>'5.1 Bilan'!BG147</f>
        <v>455922.68</v>
      </c>
    </row>
    <row r="146" spans="3:6" x14ac:dyDescent="0.25">
      <c r="D146">
        <v>2045</v>
      </c>
      <c r="E146" t="s">
        <v>343</v>
      </c>
      <c r="F146" s="89">
        <f>'5.1 Bilan'!BG148</f>
        <v>86392.72</v>
      </c>
    </row>
    <row r="147" spans="3:6" x14ac:dyDescent="0.25">
      <c r="D147">
        <v>2046</v>
      </c>
      <c r="E147" t="s">
        <v>422</v>
      </c>
      <c r="F147" s="89">
        <f>'5.1 Bilan'!BG149</f>
        <v>465732.55</v>
      </c>
    </row>
    <row r="148" spans="3:6" x14ac:dyDescent="0.25">
      <c r="D148">
        <v>2049</v>
      </c>
      <c r="E148" t="s">
        <v>423</v>
      </c>
      <c r="F148" s="89">
        <f>'5.1 Bilan'!BG150</f>
        <v>12400.15</v>
      </c>
    </row>
    <row r="149" spans="3:6" x14ac:dyDescent="0.25">
      <c r="F149" s="80"/>
    </row>
    <row r="150" spans="3:6" x14ac:dyDescent="0.25">
      <c r="C150" s="83">
        <v>205</v>
      </c>
      <c r="D150" s="83"/>
      <c r="E150" s="83" t="s">
        <v>263</v>
      </c>
      <c r="F150" s="84">
        <f>'5.1 Bilan'!BG152</f>
        <v>1170286.3500000001</v>
      </c>
    </row>
    <row r="151" spans="3:6" x14ac:dyDescent="0.25">
      <c r="D151">
        <v>2050</v>
      </c>
      <c r="E151" t="s">
        <v>424</v>
      </c>
      <c r="F151" s="89">
        <f>'5.1 Bilan'!BG153</f>
        <v>796505.2</v>
      </c>
    </row>
    <row r="152" spans="3:6" x14ac:dyDescent="0.25">
      <c r="D152">
        <v>2051</v>
      </c>
      <c r="E152" t="s">
        <v>425</v>
      </c>
      <c r="F152" s="89">
        <f>'5.1 Bilan'!BG154</f>
        <v>0</v>
      </c>
    </row>
    <row r="153" spans="3:6" x14ac:dyDescent="0.25">
      <c r="D153">
        <v>2052</v>
      </c>
      <c r="E153" t="s">
        <v>426</v>
      </c>
      <c r="F153" s="89">
        <f>'5.1 Bilan'!BG155</f>
        <v>5000</v>
      </c>
    </row>
    <row r="154" spans="3:6" x14ac:dyDescent="0.25">
      <c r="D154">
        <v>2053</v>
      </c>
      <c r="E154" t="s">
        <v>430</v>
      </c>
      <c r="F154" s="89">
        <f>'5.1 Bilan'!BG156</f>
        <v>90763.32</v>
      </c>
    </row>
    <row r="155" spans="3:6" x14ac:dyDescent="0.25">
      <c r="D155">
        <v>2054</v>
      </c>
      <c r="E155" t="s">
        <v>428</v>
      </c>
      <c r="F155" s="89">
        <f>'5.1 Bilan'!BG157</f>
        <v>495.6</v>
      </c>
    </row>
    <row r="156" spans="3:6" x14ac:dyDescent="0.25">
      <c r="D156">
        <v>2055</v>
      </c>
      <c r="E156" t="s">
        <v>427</v>
      </c>
      <c r="F156" s="89">
        <f>'5.1 Bilan'!BG158</f>
        <v>176862.88</v>
      </c>
    </row>
    <row r="157" spans="3:6" x14ac:dyDescent="0.25">
      <c r="D157">
        <v>2056</v>
      </c>
      <c r="E157" t="s">
        <v>429</v>
      </c>
      <c r="F157" s="89">
        <f>'5.1 Bilan'!BG159</f>
        <v>0</v>
      </c>
    </row>
    <row r="158" spans="3:6" x14ac:dyDescent="0.25">
      <c r="D158">
        <v>2057</v>
      </c>
      <c r="E158" t="s">
        <v>431</v>
      </c>
      <c r="F158" s="89">
        <f>'5.1 Bilan'!BG160</f>
        <v>13968</v>
      </c>
    </row>
    <row r="159" spans="3:6" x14ac:dyDescent="0.25">
      <c r="D159">
        <v>2058</v>
      </c>
      <c r="E159" t="s">
        <v>432</v>
      </c>
      <c r="F159" s="89">
        <f>'5.1 Bilan'!BG161</f>
        <v>0</v>
      </c>
    </row>
    <row r="160" spans="3:6" x14ac:dyDescent="0.25">
      <c r="D160">
        <v>2059</v>
      </c>
      <c r="E160" t="s">
        <v>433</v>
      </c>
      <c r="F160" s="89">
        <f>'5.1 Bilan'!BG162</f>
        <v>86691.35</v>
      </c>
    </row>
    <row r="161" spans="3:6" x14ac:dyDescent="0.25">
      <c r="F161" s="80"/>
    </row>
    <row r="162" spans="3:6" x14ac:dyDescent="0.25">
      <c r="C162" s="83">
        <v>206</v>
      </c>
      <c r="D162" s="83"/>
      <c r="E162" s="83" t="s">
        <v>264</v>
      </c>
      <c r="F162" s="84">
        <f>'5.1 Bilan'!BG164</f>
        <v>432917677.81</v>
      </c>
    </row>
    <row r="163" spans="3:6" x14ac:dyDescent="0.25">
      <c r="D163">
        <v>2060</v>
      </c>
      <c r="E163" t="s">
        <v>434</v>
      </c>
      <c r="F163" s="89">
        <f>'5.1 Bilan'!BG165</f>
        <v>34749167.049999997</v>
      </c>
    </row>
    <row r="164" spans="3:6" x14ac:dyDescent="0.25">
      <c r="D164">
        <v>2062</v>
      </c>
      <c r="E164" t="s">
        <v>435</v>
      </c>
      <c r="F164" s="89">
        <f>'5.1 Bilan'!BG166</f>
        <v>0</v>
      </c>
    </row>
    <row r="165" spans="3:6" x14ac:dyDescent="0.25">
      <c r="D165">
        <v>2063</v>
      </c>
      <c r="E165" t="s">
        <v>436</v>
      </c>
      <c r="F165" s="89">
        <f>'5.1 Bilan'!BG167</f>
        <v>260040003.54999995</v>
      </c>
    </row>
    <row r="166" spans="3:6" x14ac:dyDescent="0.25">
      <c r="D166">
        <v>2064</v>
      </c>
      <c r="E166" t="s">
        <v>437</v>
      </c>
      <c r="F166" s="89">
        <f>'5.1 Bilan'!BG168</f>
        <v>139438197.00999999</v>
      </c>
    </row>
    <row r="167" spans="3:6" x14ac:dyDescent="0.25">
      <c r="D167">
        <v>2067</v>
      </c>
      <c r="E167" t="s">
        <v>438</v>
      </c>
      <c r="F167" s="89">
        <f>'5.1 Bilan'!BG169</f>
        <v>0</v>
      </c>
    </row>
    <row r="168" spans="3:6" x14ac:dyDescent="0.25">
      <c r="D168">
        <v>2069</v>
      </c>
      <c r="E168" t="s">
        <v>439</v>
      </c>
      <c r="F168" s="89">
        <f>'5.1 Bilan'!BG170</f>
        <v>-1309689.8</v>
      </c>
    </row>
    <row r="169" spans="3:6" x14ac:dyDescent="0.25">
      <c r="F169" s="80"/>
    </row>
    <row r="170" spans="3:6" x14ac:dyDescent="0.25">
      <c r="C170" s="83">
        <v>208</v>
      </c>
      <c r="D170" s="83"/>
      <c r="E170" s="83" t="s">
        <v>265</v>
      </c>
      <c r="F170" s="84">
        <f>'5.1 Bilan'!BG172</f>
        <v>6467363.7199999997</v>
      </c>
    </row>
    <row r="171" spans="3:6" x14ac:dyDescent="0.25">
      <c r="D171">
        <v>2081</v>
      </c>
      <c r="E171" t="s">
        <v>440</v>
      </c>
      <c r="F171" s="89">
        <f>'5.1 Bilan'!BG173</f>
        <v>0</v>
      </c>
    </row>
    <row r="172" spans="3:6" x14ac:dyDescent="0.25">
      <c r="D172">
        <v>2082</v>
      </c>
      <c r="E172" t="s">
        <v>441</v>
      </c>
      <c r="F172" s="89">
        <f>'5.1 Bilan'!BG174</f>
        <v>0</v>
      </c>
    </row>
    <row r="173" spans="3:6" x14ac:dyDescent="0.25">
      <c r="D173">
        <v>2083</v>
      </c>
      <c r="E173" t="s">
        <v>442</v>
      </c>
      <c r="F173" s="89">
        <f>'5.1 Bilan'!BG175</f>
        <v>10691.47</v>
      </c>
    </row>
    <row r="174" spans="3:6" x14ac:dyDescent="0.25">
      <c r="D174">
        <v>2084</v>
      </c>
      <c r="E174" t="s">
        <v>443</v>
      </c>
      <c r="F174" s="89">
        <f>'5.1 Bilan'!BG176</f>
        <v>0</v>
      </c>
    </row>
    <row r="175" spans="3:6" x14ac:dyDescent="0.25">
      <c r="D175">
        <v>2085</v>
      </c>
      <c r="E175" t="s">
        <v>445</v>
      </c>
      <c r="F175" s="89">
        <f>'5.1 Bilan'!BG177</f>
        <v>1989366.5</v>
      </c>
    </row>
    <row r="176" spans="3:6" x14ac:dyDescent="0.25">
      <c r="D176">
        <v>2086</v>
      </c>
      <c r="E176" t="s">
        <v>444</v>
      </c>
      <c r="F176" s="89">
        <f>'5.1 Bilan'!BG178</f>
        <v>0</v>
      </c>
    </row>
    <row r="177" spans="2:6" x14ac:dyDescent="0.25">
      <c r="D177">
        <v>2087</v>
      </c>
      <c r="E177" t="s">
        <v>446</v>
      </c>
      <c r="F177" s="89">
        <f>'5.1 Bilan'!BG179</f>
        <v>0</v>
      </c>
    </row>
    <row r="178" spans="2:6" x14ac:dyDescent="0.25">
      <c r="D178">
        <v>2088</v>
      </c>
      <c r="E178" t="s">
        <v>447</v>
      </c>
      <c r="F178" s="89">
        <f>'5.1 Bilan'!BG180</f>
        <v>0</v>
      </c>
    </row>
    <row r="179" spans="2:6" x14ac:dyDescent="0.25">
      <c r="D179">
        <v>2089</v>
      </c>
      <c r="E179" t="s">
        <v>448</v>
      </c>
      <c r="F179" s="89">
        <f>'5.1 Bilan'!BG181</f>
        <v>4467305.75</v>
      </c>
    </row>
    <row r="180" spans="2:6" x14ac:dyDescent="0.25">
      <c r="F180" s="80"/>
    </row>
    <row r="181" spans="2:6" x14ac:dyDescent="0.25">
      <c r="C181" s="83">
        <v>209</v>
      </c>
      <c r="D181" s="83"/>
      <c r="E181" s="83" t="s">
        <v>266</v>
      </c>
      <c r="F181" s="84">
        <f>'5.1 Bilan'!BG183</f>
        <v>9258282.5</v>
      </c>
    </row>
    <row r="182" spans="2:6" x14ac:dyDescent="0.25">
      <c r="D182">
        <v>2090</v>
      </c>
      <c r="E182" t="s">
        <v>266</v>
      </c>
      <c r="F182" s="89">
        <f>'5.1 Bilan'!BG184</f>
        <v>1108475.05</v>
      </c>
    </row>
    <row r="183" spans="2:6" x14ac:dyDescent="0.25">
      <c r="D183">
        <v>2091</v>
      </c>
      <c r="E183" t="s">
        <v>449</v>
      </c>
      <c r="F183" s="89">
        <f>'5.1 Bilan'!BG185</f>
        <v>8098847.1500000004</v>
      </c>
    </row>
    <row r="184" spans="2:6" x14ac:dyDescent="0.25">
      <c r="D184">
        <v>2092</v>
      </c>
      <c r="E184" t="s">
        <v>450</v>
      </c>
      <c r="F184" s="89">
        <f>'5.1 Bilan'!BG186</f>
        <v>900</v>
      </c>
    </row>
    <row r="185" spans="2:6" x14ac:dyDescent="0.25">
      <c r="D185">
        <v>2093</v>
      </c>
      <c r="E185" t="s">
        <v>451</v>
      </c>
      <c r="F185" s="89">
        <f>'5.1 Bilan'!BG187</f>
        <v>50060.3</v>
      </c>
    </row>
    <row r="186" spans="2:6" x14ac:dyDescent="0.25">
      <c r="F186" s="80"/>
    </row>
    <row r="187" spans="2:6" x14ac:dyDescent="0.25">
      <c r="B187" s="85">
        <v>29</v>
      </c>
      <c r="C187" s="85"/>
      <c r="D187" s="85"/>
      <c r="E187" s="85" t="s">
        <v>267</v>
      </c>
      <c r="F187" s="86">
        <f>'5.1 Bilan'!BG189</f>
        <v>240440427.36000007</v>
      </c>
    </row>
    <row r="188" spans="2:6" x14ac:dyDescent="0.25">
      <c r="C188" s="83">
        <v>290</v>
      </c>
      <c r="D188" s="83"/>
      <c r="E188" s="83" t="s">
        <v>268</v>
      </c>
      <c r="F188" s="84">
        <f>'5.1 Bilan'!BG190</f>
        <v>91838538.320000038</v>
      </c>
    </row>
    <row r="189" spans="2:6" x14ac:dyDescent="0.25">
      <c r="D189">
        <v>2900</v>
      </c>
      <c r="E189" t="s">
        <v>268</v>
      </c>
      <c r="F189" s="89">
        <f>'5.1 Bilan'!BG191</f>
        <v>91838538.320000038</v>
      </c>
    </row>
    <row r="190" spans="2:6" x14ac:dyDescent="0.25">
      <c r="F190" s="80"/>
    </row>
    <row r="191" spans="2:6" x14ac:dyDescent="0.25">
      <c r="C191" s="83">
        <v>291</v>
      </c>
      <c r="D191" s="83"/>
      <c r="E191" s="83" t="s">
        <v>269</v>
      </c>
      <c r="F191" s="84">
        <f>'5.1 Bilan'!BG193</f>
        <v>5824194.0499999998</v>
      </c>
    </row>
    <row r="192" spans="2:6" x14ac:dyDescent="0.25">
      <c r="D192">
        <v>2910</v>
      </c>
      <c r="E192" t="s">
        <v>269</v>
      </c>
      <c r="F192" s="89">
        <f>'5.1 Bilan'!BG194</f>
        <v>5554469.2399999993</v>
      </c>
    </row>
    <row r="193" spans="3:6" x14ac:dyDescent="0.25">
      <c r="D193">
        <v>2911</v>
      </c>
      <c r="E193" t="s">
        <v>452</v>
      </c>
      <c r="F193" s="89">
        <f>'5.1 Bilan'!BG195</f>
        <v>269724.81</v>
      </c>
    </row>
    <row r="194" spans="3:6" x14ac:dyDescent="0.25">
      <c r="F194" s="80"/>
    </row>
    <row r="195" spans="3:6" x14ac:dyDescent="0.25">
      <c r="C195" s="83">
        <v>292</v>
      </c>
      <c r="D195" s="83"/>
      <c r="E195" s="83" t="s">
        <v>270</v>
      </c>
      <c r="F195" s="84">
        <f>'5.1 Bilan'!BG197</f>
        <v>2171523.7999999998</v>
      </c>
    </row>
    <row r="196" spans="3:6" x14ac:dyDescent="0.25">
      <c r="D196">
        <v>2920</v>
      </c>
      <c r="E196" t="s">
        <v>270</v>
      </c>
      <c r="F196" s="89">
        <f>'5.1 Bilan'!BG198</f>
        <v>2171523.7999999998</v>
      </c>
    </row>
    <row r="197" spans="3:6" x14ac:dyDescent="0.25">
      <c r="F197" s="80"/>
    </row>
    <row r="198" spans="3:6" x14ac:dyDescent="0.25">
      <c r="C198" s="83">
        <v>293</v>
      </c>
      <c r="D198" s="83"/>
      <c r="E198" s="83" t="s">
        <v>271</v>
      </c>
      <c r="F198" s="84">
        <f>'5.1 Bilan'!BG200</f>
        <v>5019487.7799999993</v>
      </c>
    </row>
    <row r="199" spans="3:6" x14ac:dyDescent="0.25">
      <c r="D199">
        <v>2930</v>
      </c>
      <c r="E199" t="s">
        <v>271</v>
      </c>
      <c r="F199" s="89">
        <f>'5.1 Bilan'!BG201</f>
        <v>5019487.7799999993</v>
      </c>
    </row>
    <row r="200" spans="3:6" x14ac:dyDescent="0.25">
      <c r="F200" s="80"/>
    </row>
    <row r="201" spans="3:6" x14ac:dyDescent="0.25">
      <c r="C201" s="83">
        <v>294</v>
      </c>
      <c r="D201" s="83"/>
      <c r="E201" s="83" t="s">
        <v>272</v>
      </c>
      <c r="F201" s="84">
        <f>'5.1 Bilan'!BG203</f>
        <v>31038418.739999998</v>
      </c>
    </row>
    <row r="202" spans="3:6" x14ac:dyDescent="0.25">
      <c r="D202">
        <v>2940</v>
      </c>
      <c r="E202" t="s">
        <v>272</v>
      </c>
      <c r="F202" s="89">
        <f>'5.1 Bilan'!BG204</f>
        <v>31038418.739999998</v>
      </c>
    </row>
    <row r="203" spans="3:6" x14ac:dyDescent="0.25">
      <c r="F203" s="80"/>
    </row>
    <row r="204" spans="3:6" x14ac:dyDescent="0.25">
      <c r="C204" s="83">
        <v>295</v>
      </c>
      <c r="D204" s="83"/>
      <c r="E204" s="83" t="s">
        <v>273</v>
      </c>
      <c r="F204" s="84">
        <f>'5.1 Bilan'!BG206</f>
        <v>96130.319999999992</v>
      </c>
    </row>
    <row r="205" spans="3:6" x14ac:dyDescent="0.25">
      <c r="D205">
        <v>2950</v>
      </c>
      <c r="E205" t="s">
        <v>273</v>
      </c>
      <c r="F205" s="89">
        <f>'5.1 Bilan'!BG207</f>
        <v>96130.319999999992</v>
      </c>
    </row>
    <row r="206" spans="3:6" x14ac:dyDescent="0.25">
      <c r="F206" s="80"/>
    </row>
    <row r="207" spans="3:6" x14ac:dyDescent="0.25">
      <c r="C207" s="83">
        <v>296</v>
      </c>
      <c r="D207" s="83"/>
      <c r="E207" s="83" t="s">
        <v>274</v>
      </c>
      <c r="F207" s="84">
        <f>'5.1 Bilan'!BG209</f>
        <v>16454611.33</v>
      </c>
    </row>
    <row r="208" spans="3:6" x14ac:dyDescent="0.25">
      <c r="D208">
        <v>2960</v>
      </c>
      <c r="E208" t="s">
        <v>274</v>
      </c>
      <c r="F208" s="89">
        <f>'5.1 Bilan'!BG210</f>
        <v>16454611.33</v>
      </c>
    </row>
    <row r="209" spans="3:6" x14ac:dyDescent="0.25">
      <c r="F209" s="80"/>
    </row>
    <row r="210" spans="3:6" x14ac:dyDescent="0.25">
      <c r="C210" s="83">
        <v>298</v>
      </c>
      <c r="D210" s="83"/>
      <c r="E210" s="83" t="s">
        <v>275</v>
      </c>
      <c r="F210" s="84">
        <f>'5.1 Bilan'!BG212</f>
        <v>146786.6</v>
      </c>
    </row>
    <row r="211" spans="3:6" x14ac:dyDescent="0.25">
      <c r="D211">
        <v>2980</v>
      </c>
      <c r="E211" t="s">
        <v>275</v>
      </c>
      <c r="F211" s="89">
        <f>'5.1 Bilan'!BG213</f>
        <v>146786.6</v>
      </c>
    </row>
    <row r="212" spans="3:6" x14ac:dyDescent="0.25">
      <c r="F212" s="80"/>
    </row>
    <row r="213" spans="3:6" x14ac:dyDescent="0.25">
      <c r="C213" s="83">
        <v>299</v>
      </c>
      <c r="D213" s="83"/>
      <c r="E213" s="83" t="s">
        <v>453</v>
      </c>
      <c r="F213" s="84">
        <f>'5.1 Bilan'!BG215</f>
        <v>87850736.420000032</v>
      </c>
    </row>
    <row r="214" spans="3:6" x14ac:dyDescent="0.25">
      <c r="D214">
        <v>2990</v>
      </c>
      <c r="E214" t="s">
        <v>453</v>
      </c>
      <c r="F214" s="80">
        <f>'5.1 Bilan'!BG216</f>
        <v>2257613.4299999992</v>
      </c>
    </row>
    <row r="215" spans="3:6" x14ac:dyDescent="0.25">
      <c r="D215">
        <v>2999</v>
      </c>
      <c r="E215" t="s">
        <v>454</v>
      </c>
      <c r="F215" s="80">
        <f>'5.1 Bilan'!BG217</f>
        <v>85593122.990000024</v>
      </c>
    </row>
    <row r="216" spans="3:6" x14ac:dyDescent="0.25">
      <c r="F216" s="80"/>
    </row>
    <row r="217" spans="3:6" x14ac:dyDescent="0.25">
      <c r="F217" s="80"/>
    </row>
    <row r="218" spans="3:6" x14ac:dyDescent="0.25">
      <c r="F218" s="80"/>
    </row>
    <row r="219" spans="3:6" x14ac:dyDescent="0.25">
      <c r="E219" s="60" t="s">
        <v>68</v>
      </c>
      <c r="F219" s="208">
        <f>'5.1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22" sqref="M22"/>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5" t="s">
        <v>268</v>
      </c>
      <c r="E2" s="89">
        <f>'5.2 Tableau bilan'!F188</f>
        <v>91838538.320000038</v>
      </c>
    </row>
    <row r="3" spans="2:5" x14ac:dyDescent="0.25">
      <c r="B3" s="78">
        <v>291</v>
      </c>
      <c r="C3" s="78"/>
      <c r="D3" s="135" t="s">
        <v>269</v>
      </c>
      <c r="E3" s="89">
        <f>'5.2 Tableau bilan'!F191</f>
        <v>5824194.0499999998</v>
      </c>
    </row>
    <row r="4" spans="2:5" x14ac:dyDescent="0.25">
      <c r="B4" s="78">
        <v>292</v>
      </c>
      <c r="C4" s="78"/>
      <c r="D4" s="135" t="s">
        <v>270</v>
      </c>
      <c r="E4" s="89">
        <f>'5.2 Tableau bilan'!F195</f>
        <v>2171523.7999999998</v>
      </c>
    </row>
    <row r="5" spans="2:5" x14ac:dyDescent="0.25">
      <c r="B5" s="78">
        <v>293</v>
      </c>
      <c r="C5" s="78"/>
      <c r="D5" s="135" t="s">
        <v>271</v>
      </c>
      <c r="E5" s="89">
        <f>'5.2 Tableau bilan'!F198</f>
        <v>5019487.7799999993</v>
      </c>
    </row>
    <row r="6" spans="2:5" x14ac:dyDescent="0.25">
      <c r="B6" s="78">
        <v>294</v>
      </c>
      <c r="C6" s="78"/>
      <c r="D6" s="135" t="s">
        <v>272</v>
      </c>
      <c r="E6" s="89">
        <f>'5.2 Tableau bilan'!F201</f>
        <v>31038418.739999998</v>
      </c>
    </row>
    <row r="7" spans="2:5" x14ac:dyDescent="0.25">
      <c r="B7" s="78">
        <v>295</v>
      </c>
      <c r="C7" s="78"/>
      <c r="D7" s="135" t="s">
        <v>273</v>
      </c>
      <c r="E7" s="89">
        <f>'5.2 Tableau bilan'!F204</f>
        <v>96130.319999999992</v>
      </c>
    </row>
    <row r="8" spans="2:5" x14ac:dyDescent="0.25">
      <c r="B8" s="78">
        <v>296</v>
      </c>
      <c r="C8" s="78"/>
      <c r="D8" s="135" t="s">
        <v>274</v>
      </c>
      <c r="E8" s="89">
        <f>'5.2 Tableau bilan'!F207</f>
        <v>16454611.33</v>
      </c>
    </row>
    <row r="9" spans="2:5" x14ac:dyDescent="0.25">
      <c r="B9" s="78">
        <v>298</v>
      </c>
      <c r="C9" s="78"/>
      <c r="D9" s="135" t="s">
        <v>275</v>
      </c>
      <c r="E9" s="89">
        <f>'5.2 Tableau bilan'!F210</f>
        <v>146786.6</v>
      </c>
    </row>
    <row r="10" spans="2:5" x14ac:dyDescent="0.25">
      <c r="B10" s="78">
        <v>299</v>
      </c>
      <c r="C10" s="78"/>
      <c r="D10" s="135" t="s">
        <v>453</v>
      </c>
      <c r="E10" s="89">
        <f>'5.2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AV7" activePane="bottomRight" state="frozen"/>
      <selection pane="topRight" activeCell="C1" sqref="C1"/>
      <selection pane="bottomLeft" activeCell="A7" sqref="A7"/>
      <selection pane="bottomRight" activeCell="BD21" sqref="BD21"/>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'5.1 Bilan'!F5</f>
        <v>6025500.6899999995</v>
      </c>
      <c r="D7" s="101">
        <f>'5.1 Bilan'!G5</f>
        <v>1369739.14</v>
      </c>
      <c r="E7" s="101">
        <f>'5.1 Bilan'!H5</f>
        <v>4309212.78</v>
      </c>
      <c r="F7" s="101">
        <f>'5.1 Bilan'!I5</f>
        <v>4657259.62</v>
      </c>
      <c r="G7" s="101">
        <f>'5.1 Bilan'!J5</f>
        <v>15173301.85</v>
      </c>
      <c r="H7" s="101">
        <f>'5.1 Bilan'!K5</f>
        <v>8929891.379999999</v>
      </c>
      <c r="I7" s="101">
        <f>'5.1 Bilan'!L5</f>
        <v>10459838.139999999</v>
      </c>
      <c r="J7" s="101">
        <f>'5.1 Bilan'!M5</f>
        <v>48329637.409999996</v>
      </c>
      <c r="K7" s="101">
        <f>'5.1 Bilan'!N5</f>
        <v>4231787.96</v>
      </c>
      <c r="L7" s="101">
        <f>'5.1 Bilan'!O5</f>
        <v>401366.44</v>
      </c>
      <c r="M7" s="101">
        <f>'5.1 Bilan'!P5</f>
        <v>19270794.450000003</v>
      </c>
      <c r="N7" s="101">
        <f>'5.1 Bilan'!Q5</f>
        <v>2306934.9900000002</v>
      </c>
      <c r="O7" s="101">
        <f>'5.1 Bilan'!R5</f>
        <v>340332.25000000006</v>
      </c>
      <c r="P7" s="101">
        <f>'5.1 Bilan'!S5</f>
        <v>1454184.04</v>
      </c>
      <c r="Q7" s="101">
        <f>'5.1 Bilan'!T5</f>
        <v>2240322.35</v>
      </c>
      <c r="R7" s="101">
        <f>'5.1 Bilan'!U5</f>
        <v>5578034.3599999994</v>
      </c>
      <c r="S7" s="101">
        <f>'5.1 Bilan'!V5</f>
        <v>797906.42</v>
      </c>
      <c r="T7" s="101">
        <f>'5.1 Bilan'!W5</f>
        <v>2606499.7699999996</v>
      </c>
      <c r="U7" s="101">
        <f>'5.1 Bilan'!X5</f>
        <v>5690503.7400000002</v>
      </c>
      <c r="V7" s="101">
        <f>'5.1 Bilan'!Y5</f>
        <v>1782334.11</v>
      </c>
      <c r="W7" s="101">
        <f>'5.1 Bilan'!Z5</f>
        <v>4607305.3099999996</v>
      </c>
      <c r="X7" s="101">
        <f>'5.1 Bilan'!AA5</f>
        <v>22682781.649999999</v>
      </c>
      <c r="Y7" s="101">
        <f>'5.1 Bilan'!AB5</f>
        <v>514539.83999999997</v>
      </c>
      <c r="Z7" s="101">
        <f>'5.1 Bilan'!AC5</f>
        <v>1718422.2500000002</v>
      </c>
      <c r="AA7" s="101">
        <f>'5.1 Bilan'!AD5</f>
        <v>3153746.6100000003</v>
      </c>
      <c r="AB7" s="101">
        <f>'5.1 Bilan'!AE5</f>
        <v>3204642.4699999997</v>
      </c>
      <c r="AC7" s="101">
        <f>'5.1 Bilan'!AF5</f>
        <v>2898436.0999999996</v>
      </c>
      <c r="AD7" s="101">
        <f>'5.1 Bilan'!AG5</f>
        <v>4936104.3499999996</v>
      </c>
      <c r="AE7" s="101">
        <f>'5.1 Bilan'!AH5</f>
        <v>9508703.8300000001</v>
      </c>
      <c r="AF7" s="101">
        <f>'5.1 Bilan'!AI5</f>
        <v>10854436.879999999</v>
      </c>
      <c r="AG7" s="101">
        <f>'5.1 Bilan'!AJ5</f>
        <v>1895624.56</v>
      </c>
      <c r="AH7" s="101">
        <f>'5.1 Bilan'!AK5</f>
        <v>2296499.59</v>
      </c>
      <c r="AI7" s="101">
        <f>'5.1 Bilan'!AL5</f>
        <v>5395628.6899999995</v>
      </c>
      <c r="AJ7" s="101">
        <f>'5.1 Bilan'!AM5</f>
        <v>5311232.7699999996</v>
      </c>
      <c r="AK7" s="101">
        <f>'5.1 Bilan'!AN5</f>
        <v>5192149.76</v>
      </c>
      <c r="AL7" s="101">
        <f>'5.1 Bilan'!AO5</f>
        <v>945916.81999999983</v>
      </c>
      <c r="AM7" s="101">
        <f>'5.1 Bilan'!AP5</f>
        <v>14951876.23</v>
      </c>
      <c r="AN7" s="101">
        <f>'5.1 Bilan'!AQ5</f>
        <v>4059251.8099999996</v>
      </c>
      <c r="AO7" s="101">
        <f>'5.1 Bilan'!AR5</f>
        <v>3653483.9</v>
      </c>
      <c r="AP7" s="101">
        <f>'5.1 Bilan'!AS5</f>
        <v>12084593.449999999</v>
      </c>
      <c r="AQ7" s="101">
        <f>'5.1 Bilan'!AT5</f>
        <v>2583134</v>
      </c>
      <c r="AR7" s="101">
        <f>'5.1 Bilan'!AU5</f>
        <v>4268060.6800000006</v>
      </c>
      <c r="AS7" s="101">
        <f>'5.1 Bilan'!AV5</f>
        <v>3818782.6800000006</v>
      </c>
      <c r="AT7" s="101">
        <f>'5.1 Bilan'!AW5</f>
        <v>6505495.3100000005</v>
      </c>
      <c r="AU7" s="101">
        <f>'5.1 Bilan'!AX5</f>
        <v>3077294.9799999995</v>
      </c>
      <c r="AV7" s="101">
        <f>'5.1 Bilan'!AY5</f>
        <v>678851.45</v>
      </c>
      <c r="AW7" s="101">
        <f>'5.1 Bilan'!AZ5</f>
        <v>2359237.4</v>
      </c>
      <c r="AX7" s="101">
        <f>'5.1 Bilan'!BA5</f>
        <v>4869007.3099999996</v>
      </c>
      <c r="AY7" s="101">
        <f>'5.1 Bilan'!BB5</f>
        <v>3035892.37</v>
      </c>
      <c r="AZ7" s="101">
        <f>'5.1 Bilan'!BC5</f>
        <v>4691561.72</v>
      </c>
      <c r="BA7" s="101">
        <f>'5.1 Bilan'!BD5</f>
        <v>866228.97</v>
      </c>
      <c r="BB7" s="101">
        <f>'5.1 Bilan'!BE5</f>
        <v>30853239.349999994</v>
      </c>
      <c r="BC7" s="101">
        <f>'5.1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'5.1 Bilan'!F121</f>
        <v>9136260.5199999996</v>
      </c>
      <c r="D9" s="101">
        <f>'5.1 Bilan'!G121</f>
        <v>2523210.25</v>
      </c>
      <c r="E9" s="101">
        <f>'5.1 Bilan'!H121</f>
        <v>6461558.5199999996</v>
      </c>
      <c r="F9" s="101">
        <f>'5.1 Bilan'!I121</f>
        <v>4936358.18</v>
      </c>
      <c r="G9" s="101">
        <f>'5.1 Bilan'!J121</f>
        <v>26343468.57</v>
      </c>
      <c r="H9" s="101">
        <f>'5.1 Bilan'!K121</f>
        <v>25837679.66</v>
      </c>
      <c r="I9" s="101">
        <f>'5.1 Bilan'!L121</f>
        <v>11484688.109999999</v>
      </c>
      <c r="J9" s="101">
        <f>'5.1 Bilan'!M121</f>
        <v>139191397.21999997</v>
      </c>
      <c r="K9" s="101">
        <f>'5.1 Bilan'!N121</f>
        <v>7307071.8300000001</v>
      </c>
      <c r="L9" s="101">
        <f>'5.1 Bilan'!O121</f>
        <v>862038.84000000008</v>
      </c>
      <c r="M9" s="155">
        <f>'5.1 Bilan'!P121</f>
        <v>46214165.719999999</v>
      </c>
      <c r="N9" s="101">
        <f>'5.1 Bilan'!Q121</f>
        <v>3674228.8800000004</v>
      </c>
      <c r="O9" s="101">
        <f>'5.1 Bilan'!R121</f>
        <v>585366.75</v>
      </c>
      <c r="P9" s="101">
        <f>'5.1 Bilan'!S121</f>
        <v>3329882.66</v>
      </c>
      <c r="Q9" s="101">
        <f>'5.1 Bilan'!T121</f>
        <v>4328768.28</v>
      </c>
      <c r="R9" s="101">
        <f>'5.1 Bilan'!U121</f>
        <v>5783474.6900000004</v>
      </c>
      <c r="S9" s="101">
        <f>'5.1 Bilan'!V121</f>
        <v>1064577.6300000001</v>
      </c>
      <c r="T9" s="101">
        <f>'5.1 Bilan'!W121</f>
        <v>4351613.58</v>
      </c>
      <c r="U9" s="101">
        <f>'5.1 Bilan'!X121</f>
        <v>16521169.08</v>
      </c>
      <c r="V9" s="101">
        <f>'5.1 Bilan'!Y121</f>
        <v>701823.61</v>
      </c>
      <c r="W9" s="101">
        <f>'5.1 Bilan'!Z121</f>
        <v>12393883.23</v>
      </c>
      <c r="X9" s="101">
        <f>'5.1 Bilan'!AA121</f>
        <v>13352559.84</v>
      </c>
      <c r="Y9" s="101">
        <f>'5.1 Bilan'!AB121</f>
        <v>650530.85</v>
      </c>
      <c r="Z9" s="101">
        <f>'5.1 Bilan'!AC121</f>
        <v>1324155.57</v>
      </c>
      <c r="AA9" s="101">
        <f>'5.1 Bilan'!AD121</f>
        <v>3949290.9899999998</v>
      </c>
      <c r="AB9" s="101">
        <f>'5.1 Bilan'!AE121</f>
        <v>8603148.8800000008</v>
      </c>
      <c r="AC9" s="101">
        <f>'5.1 Bilan'!AF121</f>
        <v>4184157.13</v>
      </c>
      <c r="AD9" s="101">
        <f>'5.1 Bilan'!AG121</f>
        <v>1835141.4</v>
      </c>
      <c r="AE9" s="101">
        <f>'5.1 Bilan'!AH121</f>
        <v>8867147.3900000006</v>
      </c>
      <c r="AF9" s="101">
        <f>'5.1 Bilan'!AI121</f>
        <v>21041584.219999999</v>
      </c>
      <c r="AG9" s="101">
        <f>'5.1 Bilan'!AJ121</f>
        <v>1776842.86</v>
      </c>
      <c r="AH9" s="101">
        <f>'5.1 Bilan'!AK121</f>
        <v>1181704</v>
      </c>
      <c r="AI9" s="101">
        <f>'5.1 Bilan'!AL121</f>
        <v>17629904.52</v>
      </c>
      <c r="AJ9" s="101">
        <f>'5.1 Bilan'!AM121</f>
        <v>10327486.98</v>
      </c>
      <c r="AK9" s="101">
        <f>'5.1 Bilan'!AN121</f>
        <v>11723916.060000002</v>
      </c>
      <c r="AL9" s="101">
        <f>'5.1 Bilan'!AO121</f>
        <v>2118226.58</v>
      </c>
      <c r="AM9" s="101">
        <f>'5.1 Bilan'!AP121</f>
        <v>11108782.970000001</v>
      </c>
      <c r="AN9" s="101">
        <f>'5.1 Bilan'!AQ121</f>
        <v>5278048.49</v>
      </c>
      <c r="AO9" s="101">
        <f>'5.1 Bilan'!AR121</f>
        <v>4581585.83</v>
      </c>
      <c r="AP9" s="101">
        <f>'5.1 Bilan'!AS121</f>
        <v>10511435.380000001</v>
      </c>
      <c r="AQ9" s="101">
        <f>'5.1 Bilan'!AT121</f>
        <v>5932741.29</v>
      </c>
      <c r="AR9" s="101">
        <f>'5.1 Bilan'!AU121</f>
        <v>8541645.5500000007</v>
      </c>
      <c r="AS9" s="101">
        <f>'5.1 Bilan'!AV121</f>
        <v>2009618.6500000001</v>
      </c>
      <c r="AT9" s="101">
        <f>'5.1 Bilan'!AW121</f>
        <v>14597972.57</v>
      </c>
      <c r="AU9" s="101">
        <f>'5.1 Bilan'!AX121</f>
        <v>6019600.25</v>
      </c>
      <c r="AV9" s="101">
        <f>'5.1 Bilan'!AY121</f>
        <v>982153.85</v>
      </c>
      <c r="AW9" s="101">
        <f>'5.1 Bilan'!AZ121</f>
        <v>2330422.44</v>
      </c>
      <c r="AX9" s="101">
        <f>'5.1 Bilan'!BA121</f>
        <v>21035834.379999999</v>
      </c>
      <c r="AY9" s="101">
        <f>'5.1 Bilan'!BB121</f>
        <v>1750180.59</v>
      </c>
      <c r="AZ9" s="101">
        <f>'5.1 Bilan'!BC121</f>
        <v>10648246.140000001</v>
      </c>
      <c r="BA9" s="101">
        <f>'5.1 Bilan'!BD121</f>
        <v>295678.96000000002</v>
      </c>
      <c r="BB9" s="101">
        <f>'5.1 Bilan'!BE121</f>
        <v>69383333.870000005</v>
      </c>
      <c r="BC9" s="101">
        <f>'5.1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'5.1 Bilan'!F122</f>
        <v>3771.65</v>
      </c>
      <c r="D11" s="101">
        <f>'5.1 Bilan'!G122</f>
        <v>44599</v>
      </c>
      <c r="E11" s="101">
        <f>'5.1 Bilan'!H122</f>
        <v>112759.55</v>
      </c>
      <c r="F11" s="101">
        <f>'5.1 Bilan'!I122</f>
        <v>235227.35</v>
      </c>
      <c r="G11" s="101">
        <f>'5.1 Bilan'!J122</f>
        <v>600201.06999999995</v>
      </c>
      <c r="H11" s="101">
        <f>'5.1 Bilan'!K122</f>
        <v>1247071.52</v>
      </c>
      <c r="I11" s="101">
        <f>'5.1 Bilan'!L122</f>
        <v>201552.2</v>
      </c>
      <c r="J11" s="101">
        <f>'5.1 Bilan'!M122</f>
        <v>9604614.6600000001</v>
      </c>
      <c r="K11" s="101">
        <f>'5.1 Bilan'!N122</f>
        <v>409615.93</v>
      </c>
      <c r="L11" s="101">
        <f>'5.1 Bilan'!O122</f>
        <v>0</v>
      </c>
      <c r="M11" s="101">
        <f>'5.1 Bilan'!P122</f>
        <v>1453277.2199999997</v>
      </c>
      <c r="N11" s="101">
        <f>'5.1 Bilan'!Q122</f>
        <v>97190.07</v>
      </c>
      <c r="O11" s="101">
        <f>'5.1 Bilan'!R122</f>
        <v>25537.75</v>
      </c>
      <c r="P11" s="101">
        <f>'5.1 Bilan'!S122</f>
        <v>266808.40999999997</v>
      </c>
      <c r="Q11" s="101">
        <f>'5.1 Bilan'!T122</f>
        <v>563608.91</v>
      </c>
      <c r="R11" s="101">
        <f>'5.1 Bilan'!U122</f>
        <v>394276.37</v>
      </c>
      <c r="S11" s="101">
        <f>'5.1 Bilan'!V122</f>
        <v>213190.62</v>
      </c>
      <c r="T11" s="101">
        <f>'5.1 Bilan'!W122</f>
        <v>221716.44999999998</v>
      </c>
      <c r="U11" s="101">
        <f>'5.1 Bilan'!X122</f>
        <v>2071297.1199999999</v>
      </c>
      <c r="V11" s="101">
        <f>'5.1 Bilan'!Y122</f>
        <v>0</v>
      </c>
      <c r="W11" s="101">
        <f>'5.1 Bilan'!Z122</f>
        <v>8866789.9800000004</v>
      </c>
      <c r="X11" s="101">
        <f>'5.1 Bilan'!AA122</f>
        <v>3389024.96</v>
      </c>
      <c r="Y11" s="101">
        <f>'5.1 Bilan'!AB122</f>
        <v>33957.25</v>
      </c>
      <c r="Z11" s="101">
        <f>'5.1 Bilan'!AC122</f>
        <v>31444.129999999997</v>
      </c>
      <c r="AA11" s="101">
        <f>'5.1 Bilan'!AD122</f>
        <v>287157.11</v>
      </c>
      <c r="AB11" s="101">
        <f>'5.1 Bilan'!AE122</f>
        <v>667667.15</v>
      </c>
      <c r="AC11" s="101">
        <f>'5.1 Bilan'!AF122</f>
        <v>0</v>
      </c>
      <c r="AD11" s="101">
        <f>'5.1 Bilan'!AG122</f>
        <v>163650.84999999998</v>
      </c>
      <c r="AE11" s="101">
        <f>'5.1 Bilan'!AH122</f>
        <v>1264494.6400000001</v>
      </c>
      <c r="AF11" s="101">
        <f>'5.1 Bilan'!AI122</f>
        <v>283596.94999999995</v>
      </c>
      <c r="AG11" s="101">
        <f>'5.1 Bilan'!AJ122</f>
        <v>613599.80000000005</v>
      </c>
      <c r="AH11" s="101">
        <f>'5.1 Bilan'!AK122</f>
        <v>43246.05</v>
      </c>
      <c r="AI11" s="101">
        <f>'5.1 Bilan'!AL122</f>
        <v>341959.9</v>
      </c>
      <c r="AJ11" s="101">
        <f>'5.1 Bilan'!AM122</f>
        <v>16414.79</v>
      </c>
      <c r="AK11" s="101">
        <f>'5.1 Bilan'!AN122</f>
        <v>228127.4</v>
      </c>
      <c r="AL11" s="101">
        <f>'5.1 Bilan'!AO122</f>
        <v>30726.94</v>
      </c>
      <c r="AM11" s="101">
        <f>'5.1 Bilan'!AP122</f>
        <v>1175364.1000000001</v>
      </c>
      <c r="AN11" s="101">
        <f>'5.1 Bilan'!AQ122</f>
        <v>422314.19</v>
      </c>
      <c r="AO11" s="101">
        <f>'5.1 Bilan'!AR122</f>
        <v>135767.88</v>
      </c>
      <c r="AP11" s="101">
        <f>'5.1 Bilan'!AS122</f>
        <v>322954.8</v>
      </c>
      <c r="AQ11" s="101">
        <f>'5.1 Bilan'!AT122</f>
        <v>362403.69</v>
      </c>
      <c r="AR11" s="101">
        <f>'5.1 Bilan'!AU122</f>
        <v>315891.65999999997</v>
      </c>
      <c r="AS11" s="101">
        <f>'5.1 Bilan'!AV122</f>
        <v>47182.1</v>
      </c>
      <c r="AT11" s="101">
        <f>'5.1 Bilan'!AW122</f>
        <v>526840.46</v>
      </c>
      <c r="AU11" s="101">
        <f>'5.1 Bilan'!AX122</f>
        <v>125306.3</v>
      </c>
      <c r="AV11" s="101">
        <f>'5.1 Bilan'!AY122</f>
        <v>18759.349999999999</v>
      </c>
      <c r="AW11" s="101">
        <f>'5.1 Bilan'!AZ122</f>
        <v>158646.04999999999</v>
      </c>
      <c r="AX11" s="101">
        <f>'5.1 Bilan'!BA122</f>
        <v>1392297.75</v>
      </c>
      <c r="AY11" s="101">
        <f>'5.1 Bilan'!BB122</f>
        <v>34063.440000000002</v>
      </c>
      <c r="AZ11" s="101">
        <f>'5.1 Bilan'!BC122</f>
        <v>1010318.05</v>
      </c>
      <c r="BA11" s="101">
        <f>'5.1 Bilan'!BD122</f>
        <v>57543.880000000005</v>
      </c>
      <c r="BB11" s="101">
        <f>'5.1 Bilan'!BE122</f>
        <v>2286095.0300000003</v>
      </c>
      <c r="BC11" s="101">
        <f>'5.1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'5.1 Bilan'!F132</f>
        <v>3909040.7600000002</v>
      </c>
      <c r="D13" s="101">
        <f>'5.1 Bilan'!G132</f>
        <v>112700</v>
      </c>
      <c r="E13" s="101">
        <f>'5.1 Bilan'!H132</f>
        <v>180090.75</v>
      </c>
      <c r="F13" s="101">
        <f>'5.1 Bilan'!I132</f>
        <v>352998.32999999996</v>
      </c>
      <c r="G13" s="101">
        <f>'5.1 Bilan'!J132</f>
        <v>4511771.7</v>
      </c>
      <c r="H13" s="101">
        <f>'5.1 Bilan'!K132</f>
        <v>5916914</v>
      </c>
      <c r="I13" s="101">
        <f>'5.1 Bilan'!L132</f>
        <v>0</v>
      </c>
      <c r="J13" s="101">
        <f>'5.1 Bilan'!M132</f>
        <v>49004578.5</v>
      </c>
      <c r="K13" s="101">
        <f>'5.1 Bilan'!N132</f>
        <v>267000</v>
      </c>
      <c r="L13" s="101">
        <f>'5.1 Bilan'!O132</f>
        <v>0</v>
      </c>
      <c r="M13" s="101">
        <f>'5.1 Bilan'!P132</f>
        <v>12857311.639999999</v>
      </c>
      <c r="N13" s="101">
        <f>'5.1 Bilan'!Q132</f>
        <v>1264473.8700000001</v>
      </c>
      <c r="O13" s="101">
        <f>'5.1 Bilan'!R132</f>
        <v>125256.5</v>
      </c>
      <c r="P13" s="101">
        <f>'5.1 Bilan'!S132</f>
        <v>0</v>
      </c>
      <c r="Q13" s="101">
        <f>'5.1 Bilan'!T132</f>
        <v>2512156.62</v>
      </c>
      <c r="R13" s="101">
        <f>'5.1 Bilan'!U132</f>
        <v>0</v>
      </c>
      <c r="S13" s="101">
        <f>'5.1 Bilan'!V132</f>
        <v>160308.08000000002</v>
      </c>
      <c r="T13" s="101">
        <f>'5.1 Bilan'!W132</f>
        <v>1963055.37</v>
      </c>
      <c r="U13" s="101">
        <f>'5.1 Bilan'!X132</f>
        <v>-76048.84</v>
      </c>
      <c r="V13" s="101">
        <f>'5.1 Bilan'!Y132</f>
        <v>63507.4</v>
      </c>
      <c r="W13" s="101">
        <f>'5.1 Bilan'!Z132</f>
        <v>0</v>
      </c>
      <c r="X13" s="101">
        <f>'5.1 Bilan'!AA132</f>
        <v>0</v>
      </c>
      <c r="Y13" s="101">
        <f>'5.1 Bilan'!AB132</f>
        <v>0</v>
      </c>
      <c r="Z13" s="101">
        <f>'5.1 Bilan'!AC132</f>
        <v>0</v>
      </c>
      <c r="AA13" s="101">
        <f>'5.1 Bilan'!AD132</f>
        <v>795091.5</v>
      </c>
      <c r="AB13" s="101">
        <f>'5.1 Bilan'!AE132</f>
        <v>87760.01</v>
      </c>
      <c r="AC13" s="101">
        <f>'5.1 Bilan'!AF132</f>
        <v>195428.94</v>
      </c>
      <c r="AD13" s="101">
        <f>'5.1 Bilan'!AG132</f>
        <v>484090.64999999997</v>
      </c>
      <c r="AE13" s="101">
        <f>'5.1 Bilan'!AH132</f>
        <v>1436720.75</v>
      </c>
      <c r="AF13" s="101">
        <f>'5.1 Bilan'!AI132</f>
        <v>7465503.8499999996</v>
      </c>
      <c r="AG13" s="101">
        <f>'5.1 Bilan'!AJ132</f>
        <v>64804.639999999999</v>
      </c>
      <c r="AH13" s="101">
        <f>'5.1 Bilan'!AK132</f>
        <v>148300</v>
      </c>
      <c r="AI13" s="101">
        <f>'5.1 Bilan'!AL132</f>
        <v>0</v>
      </c>
      <c r="AJ13" s="101">
        <f>'5.1 Bilan'!AM132</f>
        <v>1134925.8399999999</v>
      </c>
      <c r="AK13" s="101">
        <f>'5.1 Bilan'!AN132</f>
        <v>438479.73</v>
      </c>
      <c r="AL13" s="101">
        <f>'5.1 Bilan'!AO132</f>
        <v>0</v>
      </c>
      <c r="AM13" s="101">
        <f>'5.1 Bilan'!AP132</f>
        <v>1000000</v>
      </c>
      <c r="AN13" s="101">
        <f>'5.1 Bilan'!AQ132</f>
        <v>50050</v>
      </c>
      <c r="AO13" s="101">
        <f>'5.1 Bilan'!AR132</f>
        <v>334240</v>
      </c>
      <c r="AP13" s="101">
        <f>'5.1 Bilan'!AS132</f>
        <v>524000</v>
      </c>
      <c r="AQ13" s="101">
        <f>'5.1 Bilan'!AT132</f>
        <v>333359.06</v>
      </c>
      <c r="AR13" s="101">
        <f>'5.1 Bilan'!AU132</f>
        <v>276059</v>
      </c>
      <c r="AS13" s="101">
        <f>'5.1 Bilan'!AV132</f>
        <v>19300</v>
      </c>
      <c r="AT13" s="101">
        <f>'5.1 Bilan'!AW132</f>
        <v>0</v>
      </c>
      <c r="AU13" s="101">
        <f>'5.1 Bilan'!AX132</f>
        <v>1227600</v>
      </c>
      <c r="AV13" s="101">
        <f>'5.1 Bilan'!AY132</f>
        <v>0</v>
      </c>
      <c r="AW13" s="101">
        <f>'5.1 Bilan'!AZ132</f>
        <v>235243.64</v>
      </c>
      <c r="AX13" s="101">
        <f>'5.1 Bilan'!BA132</f>
        <v>530829.82999999996</v>
      </c>
      <c r="AY13" s="101">
        <f>'5.1 Bilan'!BB132</f>
        <v>772673.41</v>
      </c>
      <c r="AZ13" s="101">
        <f>'5.1 Bilan'!BC132</f>
        <v>988442.09</v>
      </c>
      <c r="BA13" s="101">
        <f>'5.1 Bilan'!BD132</f>
        <v>0</v>
      </c>
      <c r="BB13" s="101">
        <f>'5.1 Bilan'!BE132</f>
        <v>10110840.08</v>
      </c>
      <c r="BC13" s="101">
        <f>'5.1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'5.1 Bilan'!F164</f>
        <v>4874949.96</v>
      </c>
      <c r="D15" s="101">
        <f>'5.1 Bilan'!G164</f>
        <v>2330502.85</v>
      </c>
      <c r="E15" s="101">
        <f>'5.1 Bilan'!H164</f>
        <v>5359040</v>
      </c>
      <c r="F15" s="101">
        <f>'5.1 Bilan'!I164</f>
        <v>3992448.21</v>
      </c>
      <c r="G15" s="101">
        <f>'5.1 Bilan'!J164</f>
        <v>20219956.25</v>
      </c>
      <c r="H15" s="101">
        <f>'5.1 Bilan'!K164</f>
        <v>16975600</v>
      </c>
      <c r="I15" s="101">
        <f>'5.1 Bilan'!L164</f>
        <v>10391906.689999999</v>
      </c>
      <c r="J15" s="101">
        <f>'5.1 Bilan'!M164</f>
        <v>74043576.549999997</v>
      </c>
      <c r="K15" s="101">
        <f>'5.1 Bilan'!N164</f>
        <v>6416829.75</v>
      </c>
      <c r="L15" s="101">
        <f>'5.1 Bilan'!O164</f>
        <v>825716.9</v>
      </c>
      <c r="M15" s="101">
        <f>'5.1 Bilan'!P164</f>
        <v>30426335.699999999</v>
      </c>
      <c r="N15" s="101">
        <f>'5.1 Bilan'!Q164</f>
        <v>1797463.35</v>
      </c>
      <c r="O15" s="101">
        <f>'5.1 Bilan'!R164</f>
        <v>385600</v>
      </c>
      <c r="P15" s="101">
        <f>'5.1 Bilan'!S164</f>
        <v>3046722.25</v>
      </c>
      <c r="Q15" s="101">
        <f>'5.1 Bilan'!T164</f>
        <v>1129011</v>
      </c>
      <c r="R15" s="101">
        <f>'5.1 Bilan'!U164</f>
        <v>5103900</v>
      </c>
      <c r="S15" s="101">
        <f>'5.1 Bilan'!V164</f>
        <v>564750</v>
      </c>
      <c r="T15" s="101">
        <f>'5.1 Bilan'!W164</f>
        <v>1959468.1</v>
      </c>
      <c r="U15" s="101">
        <f>'5.1 Bilan'!X164</f>
        <v>13434310</v>
      </c>
      <c r="V15" s="101">
        <f>'5.1 Bilan'!Y164</f>
        <v>504064</v>
      </c>
      <c r="W15" s="101">
        <f>'5.1 Bilan'!Z164</f>
        <v>3210200</v>
      </c>
      <c r="X15" s="101">
        <f>'5.1 Bilan'!AA164</f>
        <v>4729200</v>
      </c>
      <c r="Y15" s="101">
        <f>'5.1 Bilan'!AB164</f>
        <v>610190</v>
      </c>
      <c r="Z15" s="101">
        <f>'5.1 Bilan'!AC164</f>
        <v>1200000</v>
      </c>
      <c r="AA15" s="101">
        <f>'5.1 Bilan'!AD164</f>
        <v>2672245</v>
      </c>
      <c r="AB15" s="101">
        <f>'5.1 Bilan'!AE164</f>
        <v>7824482.2800000003</v>
      </c>
      <c r="AC15" s="101">
        <f>'5.1 Bilan'!AF164</f>
        <v>3642000</v>
      </c>
      <c r="AD15" s="101">
        <f>'5.1 Bilan'!AG164</f>
        <v>515000</v>
      </c>
      <c r="AE15" s="101">
        <f>'5.1 Bilan'!AH164</f>
        <v>5331400</v>
      </c>
      <c r="AF15" s="101">
        <f>'5.1 Bilan'!AI164</f>
        <v>11523397.299999999</v>
      </c>
      <c r="AG15" s="101">
        <f>'5.1 Bilan'!AJ164</f>
        <v>912417.62</v>
      </c>
      <c r="AH15" s="101">
        <f>'5.1 Bilan'!AK164</f>
        <v>971910</v>
      </c>
      <c r="AI15" s="101">
        <f>'5.1 Bilan'!AL164</f>
        <v>17252944.620000001</v>
      </c>
      <c r="AJ15" s="101">
        <f>'5.1 Bilan'!AM164</f>
        <v>8541150</v>
      </c>
      <c r="AK15" s="101">
        <f>'5.1 Bilan'!AN164</f>
        <v>10805793.380000001</v>
      </c>
      <c r="AL15" s="101">
        <f>'5.1 Bilan'!AO164</f>
        <v>1600000</v>
      </c>
      <c r="AM15" s="101">
        <f>'5.1 Bilan'!AP164</f>
        <v>8720525</v>
      </c>
      <c r="AN15" s="101">
        <f>'5.1 Bilan'!AQ164</f>
        <v>4736229.05</v>
      </c>
      <c r="AO15" s="101">
        <f>'5.1 Bilan'!AR164</f>
        <v>3968985</v>
      </c>
      <c r="AP15" s="101">
        <f>'5.1 Bilan'!AS164</f>
        <v>9226404.7300000004</v>
      </c>
      <c r="AQ15" s="101">
        <f>'5.1 Bilan'!AT164</f>
        <v>5073767.0999999996</v>
      </c>
      <c r="AR15" s="101">
        <f>'5.1 Bilan'!AU164</f>
        <v>7532739.1200000001</v>
      </c>
      <c r="AS15" s="101">
        <f>'5.1 Bilan'!AV164</f>
        <v>1825965</v>
      </c>
      <c r="AT15" s="101">
        <f>'5.1 Bilan'!AW164</f>
        <v>13357775</v>
      </c>
      <c r="AU15" s="101">
        <f>'5.1 Bilan'!AX164</f>
        <v>4368892</v>
      </c>
      <c r="AV15" s="101">
        <f>'5.1 Bilan'!AY164</f>
        <v>676480</v>
      </c>
      <c r="AW15" s="101">
        <f>'5.1 Bilan'!AZ164</f>
        <v>1825900</v>
      </c>
      <c r="AX15" s="101">
        <f>'5.1 Bilan'!BA164</f>
        <v>18661404.399999999</v>
      </c>
      <c r="AY15" s="101">
        <f>'5.1 Bilan'!BB164</f>
        <v>871280</v>
      </c>
      <c r="AZ15" s="101">
        <f>'5.1 Bilan'!BC164</f>
        <v>8226220</v>
      </c>
      <c r="BA15" s="101">
        <f>'5.1 Bilan'!BD164</f>
        <v>148745.70000000001</v>
      </c>
      <c r="BB15" s="101">
        <f>'5.1 Bilan'!BE164</f>
        <v>54697562</v>
      </c>
      <c r="BC15" s="101">
        <f>'5.1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'5.1 Bilan'!F139</f>
        <v>0</v>
      </c>
      <c r="D17" s="101">
        <f>'5.1 Bilan'!G139</f>
        <v>0</v>
      </c>
      <c r="E17" s="101">
        <f>'5.1 Bilan'!H139</f>
        <v>0</v>
      </c>
      <c r="F17" s="101">
        <f>'5.1 Bilan'!I139</f>
        <v>0</v>
      </c>
      <c r="G17" s="101">
        <f>'5.1 Bilan'!J139</f>
        <v>0</v>
      </c>
      <c r="H17" s="101">
        <f>'5.1 Bilan'!K139</f>
        <v>0</v>
      </c>
      <c r="I17" s="101">
        <f>'5.1 Bilan'!L139</f>
        <v>0</v>
      </c>
      <c r="J17" s="101">
        <f>'5.1 Bilan'!M139</f>
        <v>0</v>
      </c>
      <c r="K17" s="101">
        <f>'5.1 Bilan'!N139</f>
        <v>0</v>
      </c>
      <c r="L17" s="101">
        <f>'5.1 Bilan'!O139</f>
        <v>0</v>
      </c>
      <c r="M17" s="101">
        <f>'5.1 Bilan'!P139</f>
        <v>0</v>
      </c>
      <c r="N17" s="101">
        <f>'5.1 Bilan'!Q139</f>
        <v>0</v>
      </c>
      <c r="O17" s="101">
        <f>'5.1 Bilan'!R139</f>
        <v>0</v>
      </c>
      <c r="P17" s="101">
        <f>'5.1 Bilan'!S139</f>
        <v>0</v>
      </c>
      <c r="Q17" s="101">
        <f>'5.1 Bilan'!T139</f>
        <v>0</v>
      </c>
      <c r="R17" s="101">
        <f>'5.1 Bilan'!U139</f>
        <v>0</v>
      </c>
      <c r="S17" s="101">
        <f>'5.1 Bilan'!V139</f>
        <v>0</v>
      </c>
      <c r="T17" s="101">
        <f>'5.1 Bilan'!W139</f>
        <v>0</v>
      </c>
      <c r="U17" s="101">
        <f>'5.1 Bilan'!X139</f>
        <v>0</v>
      </c>
      <c r="V17" s="101">
        <f>'5.1 Bilan'!Y139</f>
        <v>0</v>
      </c>
      <c r="W17" s="101">
        <f>'5.1 Bilan'!Z139</f>
        <v>0</v>
      </c>
      <c r="X17" s="101">
        <f>'5.1 Bilan'!AA139</f>
        <v>0</v>
      </c>
      <c r="Y17" s="101">
        <f>'5.1 Bilan'!AB139</f>
        <v>0</v>
      </c>
      <c r="Z17" s="101">
        <f>'5.1 Bilan'!AC139</f>
        <v>0</v>
      </c>
      <c r="AA17" s="101">
        <f>'5.1 Bilan'!AD139</f>
        <v>0</v>
      </c>
      <c r="AB17" s="101">
        <f>'5.1 Bilan'!AE139</f>
        <v>0</v>
      </c>
      <c r="AC17" s="101">
        <f>'5.1 Bilan'!AF139</f>
        <v>0</v>
      </c>
      <c r="AD17" s="101">
        <f>'5.1 Bilan'!AG139</f>
        <v>0</v>
      </c>
      <c r="AE17" s="101">
        <f>'5.1 Bilan'!AH139</f>
        <v>0</v>
      </c>
      <c r="AF17" s="101">
        <f>'5.1 Bilan'!AI139</f>
        <v>0</v>
      </c>
      <c r="AG17" s="101">
        <f>'5.1 Bilan'!AJ139</f>
        <v>0</v>
      </c>
      <c r="AH17" s="101">
        <f>'5.1 Bilan'!AK139</f>
        <v>0</v>
      </c>
      <c r="AI17" s="101">
        <f>'5.1 Bilan'!AL139</f>
        <v>0</v>
      </c>
      <c r="AJ17" s="101">
        <f>'5.1 Bilan'!AM139</f>
        <v>0</v>
      </c>
      <c r="AK17" s="101">
        <f>'5.1 Bilan'!AN139</f>
        <v>0</v>
      </c>
      <c r="AL17" s="101">
        <f>'5.1 Bilan'!AO139</f>
        <v>0</v>
      </c>
      <c r="AM17" s="101">
        <f>'5.1 Bilan'!AP139</f>
        <v>0</v>
      </c>
      <c r="AN17" s="101">
        <f>'5.1 Bilan'!AQ139</f>
        <v>0</v>
      </c>
      <c r="AO17" s="101">
        <f>'5.1 Bilan'!AR139</f>
        <v>0</v>
      </c>
      <c r="AP17" s="101">
        <f>'5.1 Bilan'!AS139</f>
        <v>0</v>
      </c>
      <c r="AQ17" s="101">
        <f>'5.1 Bilan'!AT139</f>
        <v>0</v>
      </c>
      <c r="AR17" s="101">
        <f>'5.1 Bilan'!AU139</f>
        <v>0</v>
      </c>
      <c r="AS17" s="101">
        <f>'5.1 Bilan'!AV139</f>
        <v>0</v>
      </c>
      <c r="AT17" s="101">
        <f>'5.1 Bilan'!AW139</f>
        <v>0</v>
      </c>
      <c r="AU17" s="101">
        <f>'5.1 Bilan'!AX139</f>
        <v>0</v>
      </c>
      <c r="AV17" s="101">
        <f>'5.1 Bilan'!AY139</f>
        <v>0</v>
      </c>
      <c r="AW17" s="101">
        <f>'5.1 Bilan'!AZ139</f>
        <v>0</v>
      </c>
      <c r="AX17" s="101">
        <f>'5.1 Bilan'!BA139</f>
        <v>0</v>
      </c>
      <c r="AY17" s="101">
        <f>'5.1 Bilan'!BB139</f>
        <v>0</v>
      </c>
      <c r="AZ17" s="101">
        <f>'5.1 Bilan'!BC139</f>
        <v>0</v>
      </c>
      <c r="BA17" s="101">
        <f>'5.1 Bilan'!BD139</f>
        <v>0</v>
      </c>
      <c r="BB17" s="101">
        <f>'5.1 Bilan'!BE139</f>
        <v>0</v>
      </c>
      <c r="BC17" s="101">
        <f>'5.1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BD20/BD5</f>
        <v>7972.8417539242164</v>
      </c>
      <c r="BE21" s="174">
        <f t="shared" ref="BE21:BG21" si="5">BE20/BE5</f>
        <v>7806.7980358884834</v>
      </c>
      <c r="BF21" s="174">
        <f t="shared" si="5"/>
        <v>6683.1131606069266</v>
      </c>
      <c r="BG21" s="174">
        <f t="shared" si="5"/>
        <v>8796.005904597132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6">D9-D7</f>
        <v>1153471.1100000001</v>
      </c>
      <c r="E23" s="181">
        <f t="shared" si="6"/>
        <v>2152345.7399999993</v>
      </c>
      <c r="F23" s="181">
        <f t="shared" si="6"/>
        <v>279098.55999999959</v>
      </c>
      <c r="G23" s="181">
        <f t="shared" si="6"/>
        <v>11170166.720000001</v>
      </c>
      <c r="H23" s="181">
        <f t="shared" si="6"/>
        <v>16907788.280000001</v>
      </c>
      <c r="I23" s="181">
        <f t="shared" si="6"/>
        <v>1024849.9700000007</v>
      </c>
      <c r="J23" s="181">
        <f t="shared" si="6"/>
        <v>90861759.809999973</v>
      </c>
      <c r="K23" s="181">
        <f t="shared" si="6"/>
        <v>3075283.87</v>
      </c>
      <c r="L23" s="181">
        <f t="shared" si="6"/>
        <v>460672.40000000008</v>
      </c>
      <c r="M23" s="181">
        <f t="shared" si="6"/>
        <v>26943371.269999996</v>
      </c>
      <c r="N23" s="181">
        <f t="shared" si="6"/>
        <v>1367293.8900000001</v>
      </c>
      <c r="O23" s="181">
        <f t="shared" si="6"/>
        <v>245034.49999999994</v>
      </c>
      <c r="P23" s="181">
        <f t="shared" si="6"/>
        <v>1875698.62</v>
      </c>
      <c r="Q23" s="181">
        <f t="shared" si="6"/>
        <v>2088445.9300000002</v>
      </c>
      <c r="R23" s="181">
        <f t="shared" si="6"/>
        <v>205440.33000000101</v>
      </c>
      <c r="S23" s="181">
        <f t="shared" si="6"/>
        <v>266671.21000000008</v>
      </c>
      <c r="T23" s="181">
        <f t="shared" si="6"/>
        <v>1745113.8100000005</v>
      </c>
      <c r="U23" s="181">
        <f t="shared" si="6"/>
        <v>10830665.34</v>
      </c>
      <c r="V23" s="181">
        <f t="shared" si="6"/>
        <v>-1080510.5</v>
      </c>
      <c r="W23" s="181">
        <f t="shared" si="6"/>
        <v>7786577.9200000009</v>
      </c>
      <c r="X23" s="181">
        <f t="shared" si="6"/>
        <v>-9330221.8099999987</v>
      </c>
      <c r="Y23" s="181">
        <f t="shared" si="6"/>
        <v>135991.01</v>
      </c>
      <c r="Z23" s="181">
        <f t="shared" si="6"/>
        <v>-394266.68000000017</v>
      </c>
      <c r="AA23" s="181">
        <f t="shared" si="6"/>
        <v>795544.37999999942</v>
      </c>
      <c r="AB23" s="181">
        <f t="shared" si="6"/>
        <v>5398506.4100000011</v>
      </c>
      <c r="AC23" s="181">
        <f t="shared" si="6"/>
        <v>1285721.0300000003</v>
      </c>
      <c r="AD23" s="181">
        <f t="shared" si="6"/>
        <v>-3100962.9499999997</v>
      </c>
      <c r="AE23" s="181">
        <f t="shared" si="6"/>
        <v>-641556.43999999948</v>
      </c>
      <c r="AF23" s="181">
        <f t="shared" si="6"/>
        <v>10187147.34</v>
      </c>
      <c r="AG23" s="181">
        <f t="shared" si="6"/>
        <v>-118781.69999999995</v>
      </c>
      <c r="AH23" s="181">
        <f t="shared" si="6"/>
        <v>-1114795.5899999999</v>
      </c>
      <c r="AI23" s="181">
        <f t="shared" si="6"/>
        <v>12234275.83</v>
      </c>
      <c r="AJ23" s="181">
        <f t="shared" si="6"/>
        <v>5016254.2100000009</v>
      </c>
      <c r="AK23" s="181">
        <f t="shared" si="6"/>
        <v>6531766.3000000026</v>
      </c>
      <c r="AL23" s="181">
        <f t="shared" si="6"/>
        <v>1172309.7600000002</v>
      </c>
      <c r="AM23" s="181">
        <f t="shared" si="6"/>
        <v>-3843093.26</v>
      </c>
      <c r="AN23" s="181">
        <f t="shared" si="6"/>
        <v>1218796.6800000006</v>
      </c>
      <c r="AO23" s="181">
        <f t="shared" si="6"/>
        <v>928101.93000000017</v>
      </c>
      <c r="AP23" s="181">
        <f t="shared" si="6"/>
        <v>-1573158.0699999984</v>
      </c>
      <c r="AQ23" s="181">
        <f t="shared" si="6"/>
        <v>3349607.29</v>
      </c>
      <c r="AR23" s="181">
        <f t="shared" si="6"/>
        <v>4273584.87</v>
      </c>
      <c r="AS23" s="181">
        <f t="shared" si="6"/>
        <v>-1809164.0300000005</v>
      </c>
      <c r="AT23" s="181">
        <f t="shared" si="6"/>
        <v>8092477.2599999998</v>
      </c>
      <c r="AU23" s="181">
        <f t="shared" si="6"/>
        <v>2942305.2700000005</v>
      </c>
      <c r="AV23" s="181">
        <f t="shared" si="6"/>
        <v>303302.40000000002</v>
      </c>
      <c r="AW23" s="181">
        <f t="shared" si="6"/>
        <v>-28814.959999999963</v>
      </c>
      <c r="AX23" s="181">
        <f t="shared" si="6"/>
        <v>16166827.07</v>
      </c>
      <c r="AY23" s="181">
        <f t="shared" si="6"/>
        <v>-1285711.78</v>
      </c>
      <c r="AZ23" s="181">
        <f t="shared" si="6"/>
        <v>5956684.4200000009</v>
      </c>
      <c r="BA23" s="181">
        <f t="shared" si="6"/>
        <v>-570550.01</v>
      </c>
      <c r="BB23" s="181">
        <f t="shared" si="6"/>
        <v>38530094.520000011</v>
      </c>
      <c r="BC23" s="181">
        <f t="shared" si="6"/>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G24" si="7">D23/D5</f>
        <v>4272.1152222222227</v>
      </c>
      <c r="E24" s="174">
        <f t="shared" si="7"/>
        <v>4437.8262680412354</v>
      </c>
      <c r="F24" s="174">
        <f t="shared" si="7"/>
        <v>625.78152466367624</v>
      </c>
      <c r="G24" s="174">
        <f t="shared" si="7"/>
        <v>3076.3334398237403</v>
      </c>
      <c r="H24" s="174">
        <f t="shared" si="7"/>
        <v>5103.4676365831574</v>
      </c>
      <c r="I24" s="174">
        <f t="shared" si="7"/>
        <v>387.61345310136181</v>
      </c>
      <c r="J24" s="174">
        <f t="shared" si="7"/>
        <v>7200.9636875891565</v>
      </c>
      <c r="K24" s="174">
        <f t="shared" si="7"/>
        <v>2243.0954558716267</v>
      </c>
      <c r="L24" s="174">
        <f t="shared" si="7"/>
        <v>3904.0033898305091</v>
      </c>
      <c r="M24" s="174">
        <f t="shared" si="7"/>
        <v>3759.3653230082314</v>
      </c>
      <c r="N24" s="174">
        <f t="shared" si="7"/>
        <v>2589.5717613636366</v>
      </c>
      <c r="O24" s="174">
        <f t="shared" si="7"/>
        <v>2268.8379629629626</v>
      </c>
      <c r="P24" s="174">
        <f t="shared" si="7"/>
        <v>4519.7557108433739</v>
      </c>
      <c r="Q24" s="174">
        <f t="shared" si="7"/>
        <v>5984.085759312321</v>
      </c>
      <c r="R24" s="174">
        <f t="shared" si="7"/>
        <v>299.03978165939009</v>
      </c>
      <c r="S24" s="174">
        <f t="shared" si="7"/>
        <v>1045.7694509803925</v>
      </c>
      <c r="T24" s="174">
        <f t="shared" si="7"/>
        <v>4002.5546100917445</v>
      </c>
      <c r="U24" s="174">
        <f t="shared" si="7"/>
        <v>3395.1928965517241</v>
      </c>
      <c r="V24" s="174">
        <f t="shared" si="7"/>
        <v>-3334.9089506172841</v>
      </c>
      <c r="W24" s="174">
        <f t="shared" si="7"/>
        <v>6249.259967897272</v>
      </c>
      <c r="X24" s="174">
        <f t="shared" si="7"/>
        <v>-6106.1661060209417</v>
      </c>
      <c r="Y24" s="174">
        <f t="shared" si="7"/>
        <v>1416.5730208333334</v>
      </c>
      <c r="Z24" s="174">
        <f t="shared" si="7"/>
        <v>-2646.0851006711418</v>
      </c>
      <c r="AA24" s="174">
        <f t="shared" si="7"/>
        <v>1541.7526744186034</v>
      </c>
      <c r="AB24" s="174">
        <f t="shared" si="7"/>
        <v>8045.4640983606578</v>
      </c>
      <c r="AC24" s="174">
        <f t="shared" si="7"/>
        <v>2247.7640384615388</v>
      </c>
      <c r="AD24" s="174">
        <f t="shared" si="7"/>
        <v>-6328.4958163265301</v>
      </c>
      <c r="AE24" s="174">
        <f t="shared" si="7"/>
        <v>-335.19145245559014</v>
      </c>
      <c r="AF24" s="174">
        <f t="shared" si="7"/>
        <v>3895.6586386233271</v>
      </c>
      <c r="AG24" s="174">
        <f t="shared" si="7"/>
        <v>-523.26740088105703</v>
      </c>
      <c r="AH24" s="174">
        <f t="shared" si="7"/>
        <v>-8509.89</v>
      </c>
      <c r="AI24" s="174">
        <f t="shared" si="7"/>
        <v>6456.0822321899741</v>
      </c>
      <c r="AJ24" s="174">
        <f t="shared" si="7"/>
        <v>4419.6072334801765</v>
      </c>
      <c r="AK24" s="174">
        <f t="shared" si="7"/>
        <v>5263.3088638195022</v>
      </c>
      <c r="AL24" s="174">
        <f t="shared" si="7"/>
        <v>9851.342521008406</v>
      </c>
      <c r="AM24" s="174">
        <f t="shared" si="7"/>
        <v>-3215.977623430962</v>
      </c>
      <c r="AN24" s="174">
        <f t="shared" si="7"/>
        <v>1838.3057013574671</v>
      </c>
      <c r="AO24" s="174">
        <f t="shared" si="7"/>
        <v>1438.9177209302329</v>
      </c>
      <c r="AP24" s="174">
        <f t="shared" si="7"/>
        <v>-1245.5725019794129</v>
      </c>
      <c r="AQ24" s="174">
        <f t="shared" si="7"/>
        <v>4526.4963378378379</v>
      </c>
      <c r="AR24" s="174">
        <f t="shared" si="7"/>
        <v>4157.183725680934</v>
      </c>
      <c r="AS24" s="174">
        <f t="shared" si="7"/>
        <v>-5761.6688853503201</v>
      </c>
      <c r="AT24" s="174">
        <f t="shared" si="7"/>
        <v>3371.8655249999997</v>
      </c>
      <c r="AU24" s="174">
        <f t="shared" si="7"/>
        <v>3897.0930728476828</v>
      </c>
      <c r="AV24" s="174">
        <f t="shared" si="7"/>
        <v>1675.7038674033151</v>
      </c>
      <c r="AW24" s="174">
        <f t="shared" si="7"/>
        <v>-83.040230547550323</v>
      </c>
      <c r="AX24" s="174">
        <f t="shared" si="7"/>
        <v>9566.1698639053247</v>
      </c>
      <c r="AY24" s="174">
        <f t="shared" si="7"/>
        <v>-3322.2526614987082</v>
      </c>
      <c r="AZ24" s="174">
        <f t="shared" si="7"/>
        <v>5434.9310401459861</v>
      </c>
      <c r="BA24" s="174">
        <f t="shared" si="7"/>
        <v>-3034.8404787234044</v>
      </c>
      <c r="BB24" s="174">
        <f t="shared" si="7"/>
        <v>5988.513291886853</v>
      </c>
      <c r="BC24" s="174">
        <f t="shared" si="7"/>
        <v>3847.7301785714276</v>
      </c>
      <c r="BD24" s="174">
        <f t="shared" si="7"/>
        <v>3871.0733860179903</v>
      </c>
      <c r="BE24" s="174">
        <f t="shared" si="7"/>
        <v>4512.0894180315254</v>
      </c>
      <c r="BF24" s="174">
        <f t="shared" si="7"/>
        <v>936.00462066991156</v>
      </c>
      <c r="BG24" s="174">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1">
        <f>SUM(C42:BC42)</f>
        <v>538714835.05999994</v>
      </c>
      <c r="BE42" s="181">
        <f t="shared" ref="BE42" si="13">SUM(C42:U42)</f>
        <v>267409193.54999995</v>
      </c>
      <c r="BF42" s="181">
        <f t="shared" ref="BF42" si="14">SUM(V42:AH42)</f>
        <v>66360232.519999996</v>
      </c>
      <c r="BG42" s="181">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1">
        <f t="shared" si="17"/>
        <v>141329869.45999992</v>
      </c>
      <c r="BF45" s="181">
        <f t="shared" si="17"/>
        <v>11166293.910000011</v>
      </c>
      <c r="BG45" s="181">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zoomScale="70" zoomScaleNormal="70" workbookViewId="0">
      <selection activeCell="Q8" sqref="Q8"/>
    </sheetView>
  </sheetViews>
  <sheetFormatPr baseColWidth="10" defaultRowHeight="15" x14ac:dyDescent="0.25"/>
  <cols>
    <col min="1" max="1" width="22.85546875" customWidth="1"/>
    <col min="2" max="5" width="16.28515625" customWidth="1"/>
  </cols>
  <sheetData>
    <row r="2" spans="1:5" x14ac:dyDescent="0.25">
      <c r="A2" s="65" t="s">
        <v>67</v>
      </c>
      <c r="B2" s="65" t="s">
        <v>817</v>
      </c>
      <c r="C2" s="65" t="s">
        <v>819</v>
      </c>
      <c r="D2" s="65" t="s">
        <v>818</v>
      </c>
      <c r="E2" s="65" t="s">
        <v>820</v>
      </c>
    </row>
    <row r="3" spans="1:5" x14ac:dyDescent="0.25">
      <c r="A3" s="206" t="s">
        <v>56</v>
      </c>
      <c r="B3" s="4">
        <f>'5.4 Tableau de l''endettement'!C20</f>
        <v>8787762.370000001</v>
      </c>
      <c r="C3" s="4">
        <f>'5.4 Tableau de l''endettement'!C21</f>
        <v>9520.8693066088854</v>
      </c>
      <c r="D3" s="4">
        <f>'5.4 Tableau de l''endettement'!C23</f>
        <v>3110759.83</v>
      </c>
      <c r="E3" s="4">
        <f>'5.4 Tableau de l''endettement'!C24</f>
        <v>3370.2706717226438</v>
      </c>
    </row>
    <row r="4" spans="1:5" x14ac:dyDescent="0.25">
      <c r="A4" s="206" t="s">
        <v>18</v>
      </c>
      <c r="B4" s="4">
        <f>'5.4 Tableau de l''endettement'!D20</f>
        <v>2487801.85</v>
      </c>
      <c r="C4" s="4">
        <f>'5.4 Tableau de l''endettement'!D21</f>
        <v>9214.0809259259258</v>
      </c>
      <c r="D4" s="4">
        <f>'5.4 Tableau de l''endettement'!D23</f>
        <v>1153471.1100000001</v>
      </c>
      <c r="E4" s="4">
        <f>'5.4 Tableau de l''endettement'!D24</f>
        <v>4272.1152222222227</v>
      </c>
    </row>
    <row r="5" spans="1:5" x14ac:dyDescent="0.25">
      <c r="A5" s="206" t="s">
        <v>57</v>
      </c>
      <c r="B5" s="4">
        <f>'5.4 Tableau de l''endettement'!E20</f>
        <v>5651890.2999999998</v>
      </c>
      <c r="C5" s="4">
        <f>'5.4 Tableau de l''endettement'!E21</f>
        <v>11653.382061855669</v>
      </c>
      <c r="D5" s="4">
        <f>'5.4 Tableau de l''endettement'!E23</f>
        <v>2152345.7399999993</v>
      </c>
      <c r="E5" s="4">
        <f>'5.4 Tableau de l''endettement'!E24</f>
        <v>4437.8262680412354</v>
      </c>
    </row>
    <row r="6" spans="1:5" x14ac:dyDescent="0.25">
      <c r="A6" s="206" t="s">
        <v>53</v>
      </c>
      <c r="B6" s="4">
        <f>'5.4 Tableau de l''endettement'!F20</f>
        <v>4580673.8899999997</v>
      </c>
      <c r="C6" s="4">
        <f>'5.4 Tableau de l''endettement'!F21</f>
        <v>10270.569260089685</v>
      </c>
      <c r="D6" s="4">
        <f>'5.4 Tableau de l''endettement'!F23</f>
        <v>279098.55999999959</v>
      </c>
      <c r="E6" s="4">
        <f>'5.4 Tableau de l''endettement'!F24</f>
        <v>625.78152466367624</v>
      </c>
    </row>
    <row r="7" spans="1:5" x14ac:dyDescent="0.25">
      <c r="A7" s="206" t="s">
        <v>33</v>
      </c>
      <c r="B7" s="4">
        <f>'5.4 Tableau de l''endettement'!G20</f>
        <v>25331929.02</v>
      </c>
      <c r="C7" s="4">
        <f>'5.4 Tableau de l''endettement'!G21</f>
        <v>6976.5709226108511</v>
      </c>
      <c r="D7" s="4">
        <f>'5.4 Tableau de l''endettement'!G23</f>
        <v>11170166.720000001</v>
      </c>
      <c r="E7" s="4">
        <f>'5.4 Tableau de l''endettement'!G24</f>
        <v>3076.3334398237403</v>
      </c>
    </row>
    <row r="8" spans="1:5" x14ac:dyDescent="0.25">
      <c r="A8" s="206" t="s">
        <v>10</v>
      </c>
      <c r="B8" s="4">
        <f>'5.4 Tableau de l''endettement'!H20</f>
        <v>24139585.52</v>
      </c>
      <c r="C8" s="4">
        <f>'5.4 Tableau de l''endettement'!H21</f>
        <v>7286.3222215514634</v>
      </c>
      <c r="D8" s="4">
        <f>'5.4 Tableau de l''endettement'!H23</f>
        <v>16907788.280000001</v>
      </c>
      <c r="E8" s="4">
        <f>'5.4 Tableau de l''endettement'!H24</f>
        <v>5103.4676365831574</v>
      </c>
    </row>
    <row r="9" spans="1:5" x14ac:dyDescent="0.25">
      <c r="A9" s="206" t="s">
        <v>15</v>
      </c>
      <c r="B9" s="4">
        <f>'5.4 Tableau de l''endettement'!I20</f>
        <v>10593458.889999999</v>
      </c>
      <c r="C9" s="4">
        <f>'5.4 Tableau de l''endettement'!I21</f>
        <v>4006.6032110438723</v>
      </c>
      <c r="D9" s="4">
        <f>'5.4 Tableau de l''endettement'!I23</f>
        <v>1024849.9700000007</v>
      </c>
      <c r="E9" s="4">
        <f>'5.4 Tableau de l''endettement'!I24</f>
        <v>387.61345310136181</v>
      </c>
    </row>
    <row r="10" spans="1:5" x14ac:dyDescent="0.25">
      <c r="A10" s="206" t="s">
        <v>28</v>
      </c>
      <c r="B10" s="4">
        <f>'5.4 Tableau de l''endettement'!J20</f>
        <v>132652769.70999999</v>
      </c>
      <c r="C10" s="4">
        <f>'5.4 Tableau de l''endettement'!J21</f>
        <v>10512.97905452528</v>
      </c>
      <c r="D10" s="4">
        <f>'5.4 Tableau de l''endettement'!J23</f>
        <v>90861759.809999973</v>
      </c>
      <c r="E10" s="4">
        <f>'5.4 Tableau de l''endettement'!J24</f>
        <v>7200.9636875891565</v>
      </c>
    </row>
    <row r="11" spans="1:5" x14ac:dyDescent="0.25">
      <c r="A11" s="206" t="s">
        <v>42</v>
      </c>
      <c r="B11" s="4">
        <f>'5.4 Tableau de l''endettement'!K20</f>
        <v>7093445.6799999997</v>
      </c>
      <c r="C11" s="4">
        <f>'5.4 Tableau de l''endettement'!K21</f>
        <v>5173.920991976659</v>
      </c>
      <c r="D11" s="4">
        <f>'5.4 Tableau de l''endettement'!K23</f>
        <v>3075283.87</v>
      </c>
      <c r="E11" s="4">
        <f>'5.4 Tableau de l''endettement'!K24</f>
        <v>2243.0954558716267</v>
      </c>
    </row>
    <row r="12" spans="1:5" x14ac:dyDescent="0.25">
      <c r="A12" s="206" t="s">
        <v>23</v>
      </c>
      <c r="B12" s="4">
        <f>'5.4 Tableau de l''endettement'!L20</f>
        <v>825716.9</v>
      </c>
      <c r="C12" s="4">
        <f>'5.4 Tableau de l''endettement'!L21</f>
        <v>6997.6008474576274</v>
      </c>
      <c r="D12" s="4">
        <f>'5.4 Tableau de l''endettement'!L23</f>
        <v>460672.40000000008</v>
      </c>
      <c r="E12" s="4">
        <f>'5.4 Tableau de l''endettement'!L24</f>
        <v>3904.0033898305091</v>
      </c>
    </row>
    <row r="13" spans="1:5" x14ac:dyDescent="0.25">
      <c r="A13" s="206" t="s">
        <v>22</v>
      </c>
      <c r="B13" s="4">
        <f>'5.4 Tableau de l''endettement'!M20</f>
        <v>44736924.560000002</v>
      </c>
      <c r="C13" s="4">
        <f>'5.4 Tableau de l''endettement'!M21</f>
        <v>6242.0712376168558</v>
      </c>
      <c r="D13" s="4">
        <f>'5.4 Tableau de l''endettement'!M23</f>
        <v>26943371.269999996</v>
      </c>
      <c r="E13" s="4">
        <f>'5.4 Tableau de l''endettement'!M24</f>
        <v>3759.3653230082314</v>
      </c>
    </row>
    <row r="14" spans="1:5" x14ac:dyDescent="0.25">
      <c r="A14" s="206" t="s">
        <v>13</v>
      </c>
      <c r="B14" s="4">
        <f>'5.4 Tableau de l''endettement'!N20</f>
        <v>3159127.29</v>
      </c>
      <c r="C14" s="4">
        <f>'5.4 Tableau de l''endettement'!N21</f>
        <v>5983.1956250000003</v>
      </c>
      <c r="D14" s="4">
        <f>'5.4 Tableau de l''endettement'!N23</f>
        <v>1367293.8900000001</v>
      </c>
      <c r="E14" s="4">
        <f>'5.4 Tableau de l''endettement'!N24</f>
        <v>2589.5717613636366</v>
      </c>
    </row>
    <row r="15" spans="1:5" x14ac:dyDescent="0.25">
      <c r="A15" s="206" t="s">
        <v>17</v>
      </c>
      <c r="B15" s="4">
        <f>'5.4 Tableau de l''endettement'!O20</f>
        <v>536394.25</v>
      </c>
      <c r="C15" s="4">
        <f>'5.4 Tableau de l''endettement'!O21</f>
        <v>4966.6134259259261</v>
      </c>
      <c r="D15" s="4">
        <f>'5.4 Tableau de l''endettement'!O23</f>
        <v>245034.49999999994</v>
      </c>
      <c r="E15" s="4">
        <f>'5.4 Tableau de l''endettement'!O24</f>
        <v>2268.8379629629626</v>
      </c>
    </row>
    <row r="16" spans="1:5" x14ac:dyDescent="0.25">
      <c r="A16" s="206" t="s">
        <v>43</v>
      </c>
      <c r="B16" s="4">
        <f>'5.4 Tableau de l''endettement'!P20</f>
        <v>3313530.66</v>
      </c>
      <c r="C16" s="4">
        <f>'5.4 Tableau de l''endettement'!P21</f>
        <v>7984.4112289156628</v>
      </c>
      <c r="D16" s="4">
        <f>'5.4 Tableau de l''endettement'!P23</f>
        <v>1875698.62</v>
      </c>
      <c r="E16" s="4">
        <f>'5.4 Tableau de l''endettement'!P24</f>
        <v>4519.7557108433739</v>
      </c>
    </row>
    <row r="17" spans="1:5" x14ac:dyDescent="0.25">
      <c r="A17" s="206" t="s">
        <v>40</v>
      </c>
      <c r="B17" s="4">
        <f>'5.4 Tableau de l''endettement'!Q20</f>
        <v>4204776.53</v>
      </c>
      <c r="C17" s="4">
        <f>'5.4 Tableau de l''endettement'!Q21</f>
        <v>12048.070286532951</v>
      </c>
      <c r="D17" s="4">
        <f>'5.4 Tableau de l''endettement'!Q23</f>
        <v>2088445.9300000002</v>
      </c>
      <c r="E17" s="4">
        <f>'5.4 Tableau de l''endettement'!Q24</f>
        <v>5984.085759312321</v>
      </c>
    </row>
    <row r="18" spans="1:5" x14ac:dyDescent="0.25">
      <c r="A18" s="206" t="s">
        <v>31</v>
      </c>
      <c r="B18" s="4">
        <f>'5.4 Tableau de l''endettement'!R20</f>
        <v>5498176.3700000001</v>
      </c>
      <c r="C18" s="4">
        <f>'5.4 Tableau de l''endettement'!R21</f>
        <v>8003.167933042213</v>
      </c>
      <c r="D18" s="4">
        <f>'5.4 Tableau de l''endettement'!R23</f>
        <v>205440.33000000101</v>
      </c>
      <c r="E18" s="4">
        <f>'5.4 Tableau de l''endettement'!R24</f>
        <v>299.03978165939009</v>
      </c>
    </row>
    <row r="19" spans="1:5" x14ac:dyDescent="0.25">
      <c r="A19" s="206" t="s">
        <v>12</v>
      </c>
      <c r="B19" s="4">
        <f>'5.4 Tableau de l''endettement'!S20</f>
        <v>938248.7</v>
      </c>
      <c r="C19" s="4">
        <f>'5.4 Tableau de l''endettement'!S21</f>
        <v>3679.4066666666663</v>
      </c>
      <c r="D19" s="4">
        <f>'5.4 Tableau de l''endettement'!S23</f>
        <v>266671.21000000008</v>
      </c>
      <c r="E19" s="4">
        <f>'5.4 Tableau de l''endettement'!S24</f>
        <v>1045.7694509803925</v>
      </c>
    </row>
    <row r="20" spans="1:5" x14ac:dyDescent="0.25">
      <c r="A20" s="206" t="s">
        <v>59</v>
      </c>
      <c r="B20" s="4">
        <f>'5.4 Tableau de l''endettement'!T20</f>
        <v>4144239.9200000004</v>
      </c>
      <c r="C20" s="4">
        <f>'5.4 Tableau de l''endettement'!T21</f>
        <v>9505.1374311926611</v>
      </c>
      <c r="D20" s="4">
        <f>'5.4 Tableau de l''endettement'!T23</f>
        <v>1745113.8100000005</v>
      </c>
      <c r="E20" s="4">
        <f>'5.4 Tableau de l''endettement'!T24</f>
        <v>4002.5546100917445</v>
      </c>
    </row>
    <row r="21" spans="1:5" x14ac:dyDescent="0.25">
      <c r="A21" s="206" t="s">
        <v>27</v>
      </c>
      <c r="B21" s="4">
        <f>'5.4 Tableau de l''endettement'!U20</f>
        <v>15429558.279999999</v>
      </c>
      <c r="C21" s="4">
        <f>'5.4 Tableau de l''endettement'!U21</f>
        <v>4836.8521253918498</v>
      </c>
      <c r="D21" s="4">
        <f>'5.4 Tableau de l''endettement'!U23</f>
        <v>10830665.34</v>
      </c>
      <c r="E21" s="4">
        <f>'5.4 Tableau de l''endettement'!U24</f>
        <v>3395.1928965517241</v>
      </c>
    </row>
    <row r="22" spans="1:5" x14ac:dyDescent="0.25">
      <c r="A22" s="206" t="s">
        <v>30</v>
      </c>
      <c r="B22" s="4">
        <f>'5.4 Tableau de l''endettement'!V20</f>
        <v>567571.4</v>
      </c>
      <c r="C22" s="4">
        <f>'5.4 Tableau de l''endettement'!V21</f>
        <v>1751.7635802469138</v>
      </c>
      <c r="D22" s="4">
        <f>'5.4 Tableau de l''endettement'!V23</f>
        <v>-1080510.5</v>
      </c>
      <c r="E22" s="4">
        <f>'5.4 Tableau de l''endettement'!V24</f>
        <v>-3334.9089506172841</v>
      </c>
    </row>
    <row r="23" spans="1:5" x14ac:dyDescent="0.25">
      <c r="A23" s="206" t="s">
        <v>20</v>
      </c>
      <c r="B23" s="4">
        <f>'5.4 Tableau de l''endettement'!W20</f>
        <v>12076989.98</v>
      </c>
      <c r="C23" s="4">
        <f>'5.4 Tableau de l''endettement'!W21</f>
        <v>9692.6083306581058</v>
      </c>
      <c r="D23" s="4">
        <f>'5.4 Tableau de l''endettement'!W23</f>
        <v>7786577.9200000009</v>
      </c>
      <c r="E23" s="4">
        <f>'5.4 Tableau de l''endettement'!W24</f>
        <v>6249.259967897272</v>
      </c>
    </row>
    <row r="24" spans="1:5" x14ac:dyDescent="0.25">
      <c r="A24" s="206" t="s">
        <v>45</v>
      </c>
      <c r="B24" s="4">
        <f>'5.4 Tableau de l''endettement'!X20</f>
        <v>8118224.96</v>
      </c>
      <c r="C24" s="4">
        <f>'5.4 Tableau de l''endettement'!X21</f>
        <v>5312.9744502617805</v>
      </c>
      <c r="D24" s="4">
        <f>'5.4 Tableau de l''endettement'!X23</f>
        <v>-9330221.8099999987</v>
      </c>
      <c r="E24" s="4">
        <f>'5.4 Tableau de l''endettement'!X24</f>
        <v>-6106.1661060209417</v>
      </c>
    </row>
    <row r="25" spans="1:5" x14ac:dyDescent="0.25">
      <c r="A25" s="206" t="s">
        <v>71</v>
      </c>
      <c r="B25" s="4">
        <f>'5.4 Tableau de l''endettement'!Y20</f>
        <v>644147.25</v>
      </c>
      <c r="C25" s="4">
        <f>'5.4 Tableau de l''endettement'!Y21</f>
        <v>6709.8671875</v>
      </c>
      <c r="D25" s="4">
        <f>'5.4 Tableau de l''endettement'!Y23</f>
        <v>135991.01</v>
      </c>
      <c r="E25" s="4">
        <f>'5.4 Tableau de l''endettement'!Y24</f>
        <v>1416.5730208333334</v>
      </c>
    </row>
    <row r="26" spans="1:5" x14ac:dyDescent="0.25">
      <c r="A26" s="206" t="s">
        <v>39</v>
      </c>
      <c r="B26" s="4">
        <f>'5.4 Tableau de l''endettement'!Z20</f>
        <v>1231444.1299999999</v>
      </c>
      <c r="C26" s="4">
        <f>'5.4 Tableau de l''endettement'!Z21</f>
        <v>8264.7257046979867</v>
      </c>
      <c r="D26" s="4">
        <f>'5.4 Tableau de l''endettement'!Z23</f>
        <v>-394266.68000000017</v>
      </c>
      <c r="E26" s="4">
        <f>'5.4 Tableau de l''endettement'!Z24</f>
        <v>-2646.0851006711418</v>
      </c>
    </row>
    <row r="27" spans="1:5" x14ac:dyDescent="0.25">
      <c r="A27" s="206" t="s">
        <v>19</v>
      </c>
      <c r="B27" s="4">
        <f>'5.4 Tableau de l''endettement'!AA20</f>
        <v>3754493.61</v>
      </c>
      <c r="C27" s="4">
        <f>'5.4 Tableau de l''endettement'!AA21</f>
        <v>7276.1504069767443</v>
      </c>
      <c r="D27" s="4">
        <f>'5.4 Tableau de l''endettement'!AA23</f>
        <v>795544.37999999942</v>
      </c>
      <c r="E27" s="4">
        <f>'5.4 Tableau de l''endettement'!AA24</f>
        <v>1541.7526744186034</v>
      </c>
    </row>
    <row r="28" spans="1:5" x14ac:dyDescent="0.25">
      <c r="A28" s="206" t="s">
        <v>41</v>
      </c>
      <c r="B28" s="4">
        <f>'5.4 Tableau de l''endettement'!AB20</f>
        <v>8579909.4399999995</v>
      </c>
      <c r="C28" s="4">
        <f>'5.4 Tableau de l''endettement'!AB21</f>
        <v>12786.750283159463</v>
      </c>
      <c r="D28" s="4">
        <f>'5.4 Tableau de l''endettement'!AB23</f>
        <v>5398506.4100000011</v>
      </c>
      <c r="E28" s="4">
        <f>'5.4 Tableau de l''endettement'!AB24</f>
        <v>8045.4640983606578</v>
      </c>
    </row>
    <row r="29" spans="1:5" x14ac:dyDescent="0.25">
      <c r="A29" s="206" t="s">
        <v>36</v>
      </c>
      <c r="B29" s="4">
        <f>'5.4 Tableau de l''endettement'!AC20</f>
        <v>3837428.94</v>
      </c>
      <c r="C29" s="4">
        <f>'5.4 Tableau de l''endettement'!AC21</f>
        <v>6708.7918531468531</v>
      </c>
      <c r="D29" s="4">
        <f>'5.4 Tableau de l''endettement'!AC23</f>
        <v>1285721.0300000003</v>
      </c>
      <c r="E29" s="4">
        <f>'5.4 Tableau de l''endettement'!AC24</f>
        <v>2247.7640384615388</v>
      </c>
    </row>
    <row r="30" spans="1:5" x14ac:dyDescent="0.25">
      <c r="A30" s="206" t="s">
        <v>7</v>
      </c>
      <c r="B30" s="4">
        <f>'5.4 Tableau de l''endettement'!AD20</f>
        <v>1162741.5</v>
      </c>
      <c r="C30" s="4">
        <f>'5.4 Tableau de l''endettement'!AD21</f>
        <v>2372.9418367346939</v>
      </c>
      <c r="D30" s="4">
        <f>'5.4 Tableau de l''endettement'!AD23</f>
        <v>-3100962.9499999997</v>
      </c>
      <c r="E30" s="4">
        <f>'5.4 Tableau de l''endettement'!AD24</f>
        <v>-6328.4958163265301</v>
      </c>
    </row>
    <row r="31" spans="1:5" x14ac:dyDescent="0.25">
      <c r="A31" s="206" t="s">
        <v>55</v>
      </c>
      <c r="B31" s="4">
        <f>'5.4 Tableau de l''endettement'!AE20</f>
        <v>8032615.3900000006</v>
      </c>
      <c r="C31" s="4">
        <f>'5.4 Tableau de l''endettement'!AE21</f>
        <v>4196.7687513061655</v>
      </c>
      <c r="D31" s="4">
        <f>'5.4 Tableau de l''endettement'!AE23</f>
        <v>-641556.43999999948</v>
      </c>
      <c r="E31" s="4">
        <f>'5.4 Tableau de l''endettement'!AE24</f>
        <v>-335.19145245559014</v>
      </c>
    </row>
    <row r="32" spans="1:5" x14ac:dyDescent="0.25">
      <c r="A32" s="206" t="s">
        <v>21</v>
      </c>
      <c r="B32" s="4">
        <f>'5.4 Tableau de l''endettement'!AF20</f>
        <v>19272498.099999998</v>
      </c>
      <c r="C32" s="4">
        <f>'5.4 Tableau de l''endettement'!AF21</f>
        <v>7369.9801529636707</v>
      </c>
      <c r="D32" s="4">
        <f>'5.4 Tableau de l''endettement'!AF23</f>
        <v>10187147.34</v>
      </c>
      <c r="E32" s="4">
        <f>'5.4 Tableau de l''endettement'!AF24</f>
        <v>3895.6586386233271</v>
      </c>
    </row>
    <row r="33" spans="1:5" x14ac:dyDescent="0.25">
      <c r="A33" s="206" t="s">
        <v>6</v>
      </c>
      <c r="B33" s="4">
        <f>'5.4 Tableau de l''endettement'!AG20</f>
        <v>1590822.06</v>
      </c>
      <c r="C33" s="4">
        <f>'5.4 Tableau de l''endettement'!AG21</f>
        <v>7008.0266960352428</v>
      </c>
      <c r="D33" s="4">
        <f>'5.4 Tableau de l''endettement'!AG23</f>
        <v>-118781.69999999995</v>
      </c>
      <c r="E33" s="4">
        <f>'5.4 Tableau de l''endettement'!AG24</f>
        <v>-523.26740088105703</v>
      </c>
    </row>
    <row r="34" spans="1:5" x14ac:dyDescent="0.25">
      <c r="A34" s="206" t="s">
        <v>34</v>
      </c>
      <c r="B34" s="4">
        <f>'5.4 Tableau de l''endettement'!AH20</f>
        <v>1163456.05</v>
      </c>
      <c r="C34" s="4">
        <f>'5.4 Tableau de l''endettement'!AH21</f>
        <v>8881.3438931297715</v>
      </c>
      <c r="D34" s="4">
        <f>'5.4 Tableau de l''endettement'!AH23</f>
        <v>-1114795.5899999999</v>
      </c>
      <c r="E34" s="4">
        <f>'5.4 Tableau de l''endettement'!AH24</f>
        <v>-8509.89</v>
      </c>
    </row>
    <row r="35" spans="1:5" x14ac:dyDescent="0.25">
      <c r="A35" s="206" t="s">
        <v>52</v>
      </c>
      <c r="B35" s="4">
        <f>'5.4 Tableau de l''endettement'!AI20</f>
        <v>17594904.52</v>
      </c>
      <c r="C35" s="4">
        <f>'5.4 Tableau de l''endettement'!AI21</f>
        <v>9284.9100369393145</v>
      </c>
      <c r="D35" s="4">
        <f>'5.4 Tableau de l''endettement'!AI23</f>
        <v>12234275.83</v>
      </c>
      <c r="E35" s="4">
        <f>'5.4 Tableau de l''endettement'!AI24</f>
        <v>6456.0822321899741</v>
      </c>
    </row>
    <row r="36" spans="1:5" x14ac:dyDescent="0.25">
      <c r="A36" s="206" t="s">
        <v>14</v>
      </c>
      <c r="B36" s="4">
        <f>'5.4 Tableau de l''endettement'!AJ20</f>
        <v>9692490.629999999</v>
      </c>
      <c r="C36" s="4">
        <f>'5.4 Tableau de l''endettement'!AJ21</f>
        <v>8539.6393215859025</v>
      </c>
      <c r="D36" s="4">
        <f>'5.4 Tableau de l''endettement'!AJ23</f>
        <v>5016254.2100000009</v>
      </c>
      <c r="E36" s="4">
        <f>'5.4 Tableau de l''endettement'!AJ24</f>
        <v>4419.6072334801765</v>
      </c>
    </row>
    <row r="37" spans="1:5" x14ac:dyDescent="0.25">
      <c r="A37" s="206" t="s">
        <v>32</v>
      </c>
      <c r="B37" s="4">
        <f>'5.4 Tableau de l''endettement'!AK20</f>
        <v>11472400.510000002</v>
      </c>
      <c r="C37" s="4">
        <f>'5.4 Tableau de l''endettement'!AK21</f>
        <v>9244.4806688154731</v>
      </c>
      <c r="D37" s="4">
        <f>'5.4 Tableau de l''endettement'!AK23</f>
        <v>6531766.3000000026</v>
      </c>
      <c r="E37" s="4">
        <f>'5.4 Tableau de l''endettement'!AK24</f>
        <v>5263.3088638195022</v>
      </c>
    </row>
    <row r="38" spans="1:5" x14ac:dyDescent="0.25">
      <c r="A38" s="206" t="s">
        <v>29</v>
      </c>
      <c r="B38" s="4">
        <f>'5.4 Tableau de l''endettement'!AL20</f>
        <v>1630726.94</v>
      </c>
      <c r="C38" s="4">
        <f>'5.4 Tableau de l''endettement'!AL21</f>
        <v>13703.587731092437</v>
      </c>
      <c r="D38" s="4">
        <f>'5.4 Tableau de l''endettement'!AL23</f>
        <v>1172309.7600000002</v>
      </c>
      <c r="E38" s="4">
        <f>'5.4 Tableau de l''endettement'!AL24</f>
        <v>9851.342521008406</v>
      </c>
    </row>
    <row r="39" spans="1:5" x14ac:dyDescent="0.25">
      <c r="A39" s="206" t="s">
        <v>26</v>
      </c>
      <c r="B39" s="4">
        <f>'5.4 Tableau de l''endettement'!AM20</f>
        <v>10895889.1</v>
      </c>
      <c r="C39" s="4">
        <f>'5.4 Tableau de l''endettement'!AM21</f>
        <v>9117.8988284518819</v>
      </c>
      <c r="D39" s="4">
        <f>'5.4 Tableau de l''endettement'!AM23</f>
        <v>-3843093.26</v>
      </c>
      <c r="E39" s="4">
        <f>'5.4 Tableau de l''endettement'!AM24</f>
        <v>-3215.977623430962</v>
      </c>
    </row>
    <row r="40" spans="1:5" x14ac:dyDescent="0.25">
      <c r="A40" s="206" t="s">
        <v>48</v>
      </c>
      <c r="B40" s="4">
        <f>'5.4 Tableau de l''endettement'!AN20</f>
        <v>5208593.24</v>
      </c>
      <c r="C40" s="4">
        <f>'5.4 Tableau de l''endettement'!AN21</f>
        <v>7856.0984012066365</v>
      </c>
      <c r="D40" s="4">
        <f>'5.4 Tableau de l''endettement'!AN23</f>
        <v>1218796.6800000006</v>
      </c>
      <c r="E40" s="4">
        <f>'5.4 Tableau de l''endettement'!AN24</f>
        <v>1838.3057013574671</v>
      </c>
    </row>
    <row r="41" spans="1:5" x14ac:dyDescent="0.25">
      <c r="A41" s="206" t="s">
        <v>44</v>
      </c>
      <c r="B41" s="4">
        <f>'5.4 Tableau de l''endettement'!AO20</f>
        <v>4438992.88</v>
      </c>
      <c r="C41" s="4">
        <f>'5.4 Tableau de l''endettement'!AO21</f>
        <v>6882.1595038759688</v>
      </c>
      <c r="D41" s="4">
        <f>'5.4 Tableau de l''endettement'!AO23</f>
        <v>928101.93000000017</v>
      </c>
      <c r="E41" s="4">
        <f>'5.4 Tableau de l''endettement'!AO24</f>
        <v>1438.9177209302329</v>
      </c>
    </row>
    <row r="42" spans="1:5" x14ac:dyDescent="0.25">
      <c r="A42" s="206" t="s">
        <v>37</v>
      </c>
      <c r="B42" s="4">
        <f>'5.4 Tableau de l''endettement'!AP20</f>
        <v>10073359.530000001</v>
      </c>
      <c r="C42" s="4">
        <f>'5.4 Tableau de l''endettement'!AP21</f>
        <v>7975.7399287410935</v>
      </c>
      <c r="D42" s="4">
        <f>'5.4 Tableau de l''endettement'!AP23</f>
        <v>-1573158.0699999984</v>
      </c>
      <c r="E42" s="4">
        <f>'5.4 Tableau de l''endettement'!AP24</f>
        <v>-1245.5725019794129</v>
      </c>
    </row>
    <row r="43" spans="1:5" x14ac:dyDescent="0.25">
      <c r="A43" s="206" t="s">
        <v>51</v>
      </c>
      <c r="B43" s="4">
        <f>'5.4 Tableau de l''endettement'!AQ20</f>
        <v>5769529.8499999996</v>
      </c>
      <c r="C43" s="4">
        <f>'5.4 Tableau de l''endettement'!AQ21</f>
        <v>7796.6619594594586</v>
      </c>
      <c r="D43" s="4">
        <f>'5.4 Tableau de l''endettement'!AQ23</f>
        <v>3349607.29</v>
      </c>
      <c r="E43" s="4">
        <f>'5.4 Tableau de l''endettement'!AQ24</f>
        <v>4526.4963378378379</v>
      </c>
    </row>
    <row r="44" spans="1:5" x14ac:dyDescent="0.25">
      <c r="A44" s="206" t="s">
        <v>8</v>
      </c>
      <c r="B44" s="4">
        <f>'5.4 Tableau de l''endettement'!AR20</f>
        <v>8124689.7800000003</v>
      </c>
      <c r="C44" s="4">
        <f>'5.4 Tableau de l''endettement'!AR21</f>
        <v>7903.3947276264598</v>
      </c>
      <c r="D44" s="4">
        <f>'5.4 Tableau de l''endettement'!AR23</f>
        <v>4273584.87</v>
      </c>
      <c r="E44" s="4">
        <f>'5.4 Tableau de l''endettement'!AR24</f>
        <v>4157.183725680934</v>
      </c>
    </row>
    <row r="45" spans="1:5" x14ac:dyDescent="0.25">
      <c r="A45" s="206" t="s">
        <v>24</v>
      </c>
      <c r="B45" s="4">
        <f>'5.4 Tableau de l''endettement'!AS20</f>
        <v>1892447.1</v>
      </c>
      <c r="C45" s="4">
        <f>'5.4 Tableau de l''endettement'!AS21</f>
        <v>6026.9015923566885</v>
      </c>
      <c r="D45" s="4">
        <f>'5.4 Tableau de l''endettement'!AS23</f>
        <v>-1809164.0300000005</v>
      </c>
      <c r="E45" s="4">
        <f>'5.4 Tableau de l''endettement'!AS24</f>
        <v>-5761.6688853503201</v>
      </c>
    </row>
    <row r="46" spans="1:5" x14ac:dyDescent="0.25">
      <c r="A46" s="206" t="s">
        <v>9</v>
      </c>
      <c r="B46" s="4">
        <f>'5.4 Tableau de l''endettement'!AT20</f>
        <v>13884615.460000001</v>
      </c>
      <c r="C46" s="4">
        <f>'5.4 Tableau de l''endettement'!AT21</f>
        <v>5785.2564416666673</v>
      </c>
      <c r="D46" s="4">
        <f>'5.4 Tableau de l''endettement'!AT23</f>
        <v>8092477.2599999998</v>
      </c>
      <c r="E46" s="4">
        <f>'5.4 Tableau de l''endettement'!AT24</f>
        <v>3371.8655249999997</v>
      </c>
    </row>
    <row r="47" spans="1:5" x14ac:dyDescent="0.25">
      <c r="A47" s="206" t="s">
        <v>62</v>
      </c>
      <c r="B47" s="4">
        <f>'5.4 Tableau de l''endettement'!AU20</f>
        <v>5721798.2999999998</v>
      </c>
      <c r="C47" s="4">
        <f>'5.4 Tableau de l''endettement'!AU21</f>
        <v>7578.5407947019867</v>
      </c>
      <c r="D47" s="4">
        <f>'5.4 Tableau de l''endettement'!AU23</f>
        <v>2942305.2700000005</v>
      </c>
      <c r="E47" s="4">
        <f>'5.4 Tableau de l''endettement'!AU24</f>
        <v>3897.0930728476828</v>
      </c>
    </row>
    <row r="48" spans="1:5" x14ac:dyDescent="0.25">
      <c r="A48" s="206" t="s">
        <v>46</v>
      </c>
      <c r="B48" s="4">
        <f>'5.4 Tableau de l''endettement'!AV20</f>
        <v>695239.35</v>
      </c>
      <c r="C48" s="4">
        <f>'5.4 Tableau de l''endettement'!AV21</f>
        <v>3841.1013812154697</v>
      </c>
      <c r="D48" s="4">
        <f>'5.4 Tableau de l''endettement'!AV23</f>
        <v>303302.40000000002</v>
      </c>
      <c r="E48" s="4">
        <f>'5.4 Tableau de l''endettement'!AV24</f>
        <v>1675.7038674033151</v>
      </c>
    </row>
    <row r="49" spans="1:5" x14ac:dyDescent="0.25">
      <c r="A49" s="206" t="s">
        <v>35</v>
      </c>
      <c r="B49" s="4">
        <f>'5.4 Tableau de l''endettement'!AW20</f>
        <v>2219789.69</v>
      </c>
      <c r="C49" s="4">
        <f>'5.4 Tableau de l''endettement'!AW21</f>
        <v>6397.0884438040348</v>
      </c>
      <c r="D49" s="4">
        <f>'5.4 Tableau de l''endettement'!AW23</f>
        <v>-28814.959999999963</v>
      </c>
      <c r="E49" s="4">
        <f>'5.4 Tableau de l''endettement'!AW24</f>
        <v>-83.040230547550323</v>
      </c>
    </row>
    <row r="50" spans="1:5" x14ac:dyDescent="0.25">
      <c r="A50" s="206" t="s">
        <v>49</v>
      </c>
      <c r="B50" s="4">
        <f>'5.4 Tableau de l''endettement'!AX20</f>
        <v>20584531.979999997</v>
      </c>
      <c r="C50" s="4">
        <f>'5.4 Tableau de l''endettement'!AX21</f>
        <v>12180.196437869821</v>
      </c>
      <c r="D50" s="4">
        <f>'5.4 Tableau de l''endettement'!AX23</f>
        <v>16166827.07</v>
      </c>
      <c r="E50" s="4">
        <f>'5.4 Tableau de l''endettement'!AX24</f>
        <v>9566.1698639053247</v>
      </c>
    </row>
    <row r="51" spans="1:5" x14ac:dyDescent="0.25">
      <c r="A51" s="206" t="s">
        <v>47</v>
      </c>
      <c r="B51" s="4">
        <f>'5.4 Tableau de l''endettement'!AY20</f>
        <v>1678016.85</v>
      </c>
      <c r="C51" s="4">
        <f>'5.4 Tableau de l''endettement'!AY21</f>
        <v>4335.9608527131786</v>
      </c>
      <c r="D51" s="4">
        <f>'5.4 Tableau de l''endettement'!AY23</f>
        <v>-1285711.78</v>
      </c>
      <c r="E51" s="4">
        <f>'5.4 Tableau de l''endettement'!AY24</f>
        <v>-3322.2526614987082</v>
      </c>
    </row>
    <row r="52" spans="1:5" x14ac:dyDescent="0.25">
      <c r="A52" s="206" t="s">
        <v>58</v>
      </c>
      <c r="B52" s="4">
        <f>'5.4 Tableau de l''endettement'!AZ20</f>
        <v>10224980.140000001</v>
      </c>
      <c r="C52" s="4">
        <f>'5.4 Tableau de l''endettement'!AZ21</f>
        <v>9329.3614416058408</v>
      </c>
      <c r="D52" s="4">
        <f>'5.4 Tableau de l''endettement'!AZ23</f>
        <v>5956684.4200000009</v>
      </c>
      <c r="E52" s="4">
        <f>'5.4 Tableau de l''endettement'!AZ24</f>
        <v>5434.9310401459861</v>
      </c>
    </row>
    <row r="53" spans="1:5" x14ac:dyDescent="0.25">
      <c r="A53" s="206" t="s">
        <v>50</v>
      </c>
      <c r="B53" s="4">
        <f>'5.4 Tableau de l''endettement'!BA20</f>
        <v>206289.58000000002</v>
      </c>
      <c r="C53" s="4">
        <f>'5.4 Tableau de l''endettement'!BA21</f>
        <v>1097.2850000000001</v>
      </c>
      <c r="D53" s="4">
        <f>'5.4 Tableau de l''endettement'!BA23</f>
        <v>-570550.01</v>
      </c>
      <c r="E53" s="4">
        <f>'5.4 Tableau de l''endettement'!BA24</f>
        <v>-3034.8404787234044</v>
      </c>
    </row>
    <row r="54" spans="1:5" x14ac:dyDescent="0.25">
      <c r="A54" s="206" t="s">
        <v>16</v>
      </c>
      <c r="B54" s="4">
        <f>'5.4 Tableau de l''endettement'!BB20</f>
        <v>67094497.109999999</v>
      </c>
      <c r="C54" s="4">
        <f>'5.4 Tableau de l''endettement'!BB21</f>
        <v>10428.115808206403</v>
      </c>
      <c r="D54" s="4">
        <f>'5.4 Tableau de l''endettement'!BB23</f>
        <v>38530094.520000011</v>
      </c>
      <c r="E54" s="4">
        <f>'5.4 Tableau de l''endettement'!BB24</f>
        <v>5988.513291886853</v>
      </c>
    </row>
    <row r="55" spans="1:5" x14ac:dyDescent="0.25">
      <c r="A55" s="206" t="s">
        <v>25</v>
      </c>
      <c r="B55" s="4">
        <f>'5.4 Tableau de l''endettement'!BC20</f>
        <v>4428056.8</v>
      </c>
      <c r="C55" s="4">
        <f>'5.4 Tableau de l''endettement'!BC21</f>
        <v>7907.2442857142851</v>
      </c>
      <c r="D55" s="4">
        <f>'5.4 Tableau de l''endettement'!BC23</f>
        <v>2154728.8999999994</v>
      </c>
      <c r="E55" s="4">
        <f>'5.4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tabSelected="1" workbookViewId="0">
      <selection activeCell="K10" sqref="K1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228" t="s">
        <v>822</v>
      </c>
    </row>
    <row r="4" spans="1:3" ht="15" customHeight="1" thickBot="1" x14ac:dyDescent="0.45">
      <c r="A4" s="42"/>
      <c r="B4" s="180" t="s">
        <v>56</v>
      </c>
    </row>
    <row r="5" spans="1:3" ht="15" customHeight="1" x14ac:dyDescent="0.25">
      <c r="C5" s="65"/>
    </row>
    <row r="6" spans="1:3" ht="15" customHeight="1" x14ac:dyDescent="0.25">
      <c r="C6" s="183" t="s">
        <v>205</v>
      </c>
    </row>
    <row r="7" spans="1:3" x14ac:dyDescent="0.25">
      <c r="A7" s="67">
        <v>10</v>
      </c>
      <c r="B7" s="67" t="s">
        <v>247</v>
      </c>
      <c r="C7" s="4">
        <f>HLOOKUP($B$4,'5.4 Tableau de l''endettement'!$C$6:$BC$24,2,0)</f>
        <v>6025500.6899999995</v>
      </c>
    </row>
    <row r="8" spans="1:3" x14ac:dyDescent="0.25">
      <c r="A8" s="67"/>
      <c r="B8" s="67"/>
      <c r="C8" s="4"/>
    </row>
    <row r="9" spans="1:3" x14ac:dyDescent="0.25">
      <c r="A9" s="67">
        <v>20</v>
      </c>
      <c r="B9" s="67" t="s">
        <v>259</v>
      </c>
      <c r="C9" s="4">
        <f>HLOOKUP($B$4,'5.4 Tableau de l''endettement'!$C$6:$BC$24,4,0)</f>
        <v>9136260.5199999996</v>
      </c>
    </row>
    <row r="10" spans="1:3" x14ac:dyDescent="0.25">
      <c r="A10" s="67"/>
      <c r="B10" s="67"/>
      <c r="C10" s="4"/>
    </row>
    <row r="11" spans="1:3" x14ac:dyDescent="0.25">
      <c r="A11" s="67">
        <v>200</v>
      </c>
      <c r="B11" s="67" t="s">
        <v>460</v>
      </c>
      <c r="C11" s="4">
        <f>HLOOKUP($B$4,'5.4 Tableau de l''endettement'!$C$6:$BC$24,6,0)</f>
        <v>3771.65</v>
      </c>
    </row>
    <row r="12" spans="1:3" x14ac:dyDescent="0.25">
      <c r="A12" s="67"/>
      <c r="B12" s="67"/>
      <c r="C12" s="4"/>
    </row>
    <row r="13" spans="1:3" x14ac:dyDescent="0.25">
      <c r="A13" s="67">
        <v>201</v>
      </c>
      <c r="B13" s="67" t="s">
        <v>261</v>
      </c>
      <c r="C13" s="4">
        <f>HLOOKUP($B$4,'5.4 Tableau de l''endettement'!$C$6:$BC$24,8,0)</f>
        <v>3909040.7600000002</v>
      </c>
    </row>
    <row r="14" spans="1:3" x14ac:dyDescent="0.25">
      <c r="A14" s="67"/>
      <c r="B14" s="67"/>
      <c r="C14" s="4"/>
    </row>
    <row r="15" spans="1:3" x14ac:dyDescent="0.25">
      <c r="A15" s="67">
        <v>206</v>
      </c>
      <c r="B15" s="67" t="s">
        <v>264</v>
      </c>
      <c r="C15" s="4">
        <f>HLOOKUP($B$4,'5.4 Tableau de l''endettement'!$C$6:$BC$24,10,0)</f>
        <v>4874949.96</v>
      </c>
    </row>
    <row r="16" spans="1:3" x14ac:dyDescent="0.25">
      <c r="A16" s="67"/>
      <c r="B16" s="67"/>
      <c r="C16" s="4"/>
    </row>
    <row r="17" spans="1:3" x14ac:dyDescent="0.25">
      <c r="A17" s="67">
        <v>2016</v>
      </c>
      <c r="B17" s="67" t="s">
        <v>276</v>
      </c>
      <c r="C17" s="4">
        <f>HLOOKUP($B$4,'5.4 Tableau de l''endettement'!$C$6:$BC$24,12,0)</f>
        <v>0</v>
      </c>
    </row>
    <row r="18" spans="1:3" x14ac:dyDescent="0.25">
      <c r="A18" s="67"/>
      <c r="B18" s="67"/>
      <c r="C18" s="4"/>
    </row>
    <row r="19" spans="1:3" x14ac:dyDescent="0.25">
      <c r="A19" s="67"/>
      <c r="B19" s="67"/>
      <c r="C19" s="4"/>
    </row>
    <row r="20" spans="1:3" x14ac:dyDescent="0.25">
      <c r="A20" s="67"/>
      <c r="B20" s="99" t="s">
        <v>655</v>
      </c>
      <c r="C20" s="100">
        <f>HLOOKUP($B$4,'5.4 Tableau de l''endettement'!$C$6:$BC$24,15,0)</f>
        <v>8787762.370000001</v>
      </c>
    </row>
    <row r="21" spans="1:3" x14ac:dyDescent="0.25">
      <c r="A21" s="67"/>
      <c r="B21" s="69" t="s">
        <v>458</v>
      </c>
      <c r="C21" s="70">
        <f>HLOOKUP($B$4,'5.4 Tableau de l''endettement'!$C$6:$BC$24,16,0)</f>
        <v>9520.8693066088854</v>
      </c>
    </row>
    <row r="22" spans="1:3" x14ac:dyDescent="0.25">
      <c r="A22" s="67"/>
      <c r="B22" s="7"/>
      <c r="C22" s="4"/>
    </row>
    <row r="23" spans="1:3" x14ac:dyDescent="0.25">
      <c r="A23" s="67"/>
      <c r="B23" s="99" t="s">
        <v>656</v>
      </c>
      <c r="C23" s="100">
        <f>HLOOKUP($B$4,'5.4 Tableau de l''endettement'!$C$6:$BC$24,18,0)</f>
        <v>3110759.83</v>
      </c>
    </row>
    <row r="24" spans="1:3" x14ac:dyDescent="0.25">
      <c r="A24" s="67"/>
      <c r="B24" s="69" t="s">
        <v>458</v>
      </c>
      <c r="C24" s="70">
        <f>HLOOKUP($B$4,'5.4 Tableau de l''endettement'!$C$6:$BC$24,19,0)</f>
        <v>3370.2706717226438</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HLOOKUP($B$4,'5.4 Tableau de l''endettement'!$C$6:$BC$49,24,0)</f>
        <v>5729343.4000000004</v>
      </c>
    </row>
    <row r="30" spans="1:3" x14ac:dyDescent="0.25">
      <c r="A30" s="67"/>
      <c r="B30" s="67"/>
      <c r="C30" s="4"/>
    </row>
    <row r="31" spans="1:3" x14ac:dyDescent="0.25">
      <c r="A31" s="67">
        <v>20</v>
      </c>
      <c r="B31" s="67" t="s">
        <v>259</v>
      </c>
      <c r="C31" s="4">
        <f>HLOOKUP($B$4,'5.4 Tableau de l''endettement'!$C$6:$BC$49,26,0)</f>
        <v>7710885.7000000002</v>
      </c>
    </row>
    <row r="32" spans="1:3" x14ac:dyDescent="0.25">
      <c r="A32" s="67"/>
      <c r="B32" s="67"/>
      <c r="C32" s="4"/>
    </row>
    <row r="33" spans="1:3" x14ac:dyDescent="0.25">
      <c r="A33" s="67">
        <v>200</v>
      </c>
      <c r="B33" s="67" t="s">
        <v>460</v>
      </c>
      <c r="C33" s="4">
        <f>HLOOKUP($B$4,'5.4 Tableau de l''endettement'!$C$6:$BC$49,28,0)</f>
        <v>3771.65</v>
      </c>
    </row>
    <row r="34" spans="1:3" x14ac:dyDescent="0.25">
      <c r="A34" s="67"/>
      <c r="B34" s="67"/>
      <c r="C34" s="4"/>
    </row>
    <row r="35" spans="1:3" x14ac:dyDescent="0.25">
      <c r="A35" s="67">
        <v>201</v>
      </c>
      <c r="B35" s="67" t="s">
        <v>261</v>
      </c>
      <c r="C35" s="4">
        <f>HLOOKUP($B$4,'5.4 Tableau de l''endettement'!$C$6:$BC$49,30,0)</f>
        <v>3909040.76</v>
      </c>
    </row>
    <row r="36" spans="1:3" x14ac:dyDescent="0.25">
      <c r="A36" s="67"/>
      <c r="B36" s="67"/>
      <c r="C36" s="4"/>
    </row>
    <row r="37" spans="1:3" x14ac:dyDescent="0.25">
      <c r="A37" s="67">
        <v>206</v>
      </c>
      <c r="B37" s="67" t="s">
        <v>264</v>
      </c>
      <c r="C37" s="4">
        <f>HLOOKUP($B$4,'5.4 Tableau de l''endettement'!$C$6:$BC$49,32,0)</f>
        <v>3449574.66</v>
      </c>
    </row>
    <row r="38" spans="1:3" x14ac:dyDescent="0.25">
      <c r="A38" s="67"/>
      <c r="B38" s="67"/>
      <c r="C38" s="4"/>
    </row>
    <row r="39" spans="1:3" x14ac:dyDescent="0.25">
      <c r="A39" s="67">
        <v>2016</v>
      </c>
      <c r="B39" s="67" t="s">
        <v>276</v>
      </c>
      <c r="C39" s="4">
        <f>HLOOKUP($B$4,'5.4 Tableau de l''endettement'!$C$6:$BC$49,34,0)</f>
        <v>0</v>
      </c>
    </row>
    <row r="40" spans="1:3" x14ac:dyDescent="0.25">
      <c r="A40" s="67"/>
      <c r="B40" s="67"/>
      <c r="C40" s="4"/>
    </row>
    <row r="41" spans="1:3" x14ac:dyDescent="0.25">
      <c r="A41" s="67"/>
      <c r="B41" s="67"/>
      <c r="C41" s="4"/>
    </row>
    <row r="42" spans="1:3" x14ac:dyDescent="0.25">
      <c r="A42" s="67"/>
      <c r="B42" s="99" t="s">
        <v>657</v>
      </c>
      <c r="C42" s="100">
        <f>HLOOKUP($B$4,'5.4 Tableau de l''endettement'!$C$6:$BC$49,37,0)</f>
        <v>7362387.0700000003</v>
      </c>
    </row>
    <row r="43" spans="1:3" x14ac:dyDescent="0.25">
      <c r="A43" s="67"/>
      <c r="B43" s="69" t="s">
        <v>458</v>
      </c>
      <c r="C43" s="70">
        <f>HLOOKUP($B$4,'5.4 Tableau de l''endettement'!$C$6:$BC$49,38,0)</f>
        <v>7976.5840411700974</v>
      </c>
    </row>
    <row r="44" spans="1:3" x14ac:dyDescent="0.25">
      <c r="A44" s="67"/>
      <c r="B44" s="7"/>
      <c r="C44" s="4"/>
    </row>
    <row r="45" spans="1:3" x14ac:dyDescent="0.25">
      <c r="A45" s="67"/>
      <c r="B45" s="99" t="s">
        <v>658</v>
      </c>
      <c r="C45" s="100">
        <f>HLOOKUP($B$4,'5.4 Tableau de l''endettement'!$C$6:$BC$49,40,0)</f>
        <v>1981542.2999999998</v>
      </c>
    </row>
    <row r="46" spans="1:3" x14ac:dyDescent="0.25">
      <c r="A46" s="67"/>
      <c r="B46" s="69" t="s">
        <v>458</v>
      </c>
      <c r="C46" s="70">
        <f>HLOOKUP($B$4,'5.4 Tableau de l''endettement'!$C$6:$BC$49,41,0)</f>
        <v>2146.8497291440954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E85" activePane="bottomRight" state="frozen"/>
      <selection pane="topRight" activeCell="E1" sqref="E1"/>
      <selection pane="bottomLeft" activeCell="A4" sqref="A4"/>
      <selection pane="bottomRight" activeCell="D85" sqref="D8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464</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765</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G16" sqref="G16"/>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763</v>
      </c>
      <c r="B1" s="7"/>
      <c r="C1" s="7"/>
      <c r="D1" s="7"/>
    </row>
    <row r="3" spans="1:5" ht="15.75" thickBot="1" x14ac:dyDescent="0.3"/>
    <row r="4" spans="1:5" ht="15.75" thickBot="1" x14ac:dyDescent="0.3">
      <c r="A4" t="s">
        <v>650</v>
      </c>
      <c r="D4" s="175" t="s">
        <v>25</v>
      </c>
    </row>
    <row r="7" spans="1:5" ht="21" x14ac:dyDescent="0.35">
      <c r="A7" s="102">
        <v>5</v>
      </c>
      <c r="B7" s="102"/>
      <c r="C7" s="102"/>
      <c r="D7" s="102" t="s">
        <v>193</v>
      </c>
      <c r="E7" s="186">
        <f>HLOOKUP($D$4,'6. Investissements'!$E$3:$BE$185,2,0)</f>
        <v>6219.65</v>
      </c>
    </row>
    <row r="8" spans="1:5" x14ac:dyDescent="0.25">
      <c r="A8" s="78"/>
      <c r="B8" s="69">
        <v>50</v>
      </c>
      <c r="C8" s="69"/>
      <c r="D8" s="69" t="s">
        <v>465</v>
      </c>
      <c r="E8" s="70">
        <f>SUM(E9:E16)</f>
        <v>0</v>
      </c>
    </row>
    <row r="9" spans="1:5" x14ac:dyDescent="0.25">
      <c r="C9">
        <v>500</v>
      </c>
      <c r="D9" t="s">
        <v>467</v>
      </c>
      <c r="E9" s="4">
        <f>HLOOKUP($D$4,'6. Investissements'!$E$3:$BE$185,4,0)</f>
        <v>0</v>
      </c>
    </row>
    <row r="10" spans="1:5" x14ac:dyDescent="0.25">
      <c r="C10">
        <v>501</v>
      </c>
      <c r="D10" t="s">
        <v>468</v>
      </c>
      <c r="E10" s="4">
        <f>HLOOKUP($D$4,'6. Investissements'!$E$3:$BE$185,5,0)</f>
        <v>0</v>
      </c>
    </row>
    <row r="11" spans="1:5" x14ac:dyDescent="0.25">
      <c r="C11">
        <v>502</v>
      </c>
      <c r="D11" t="s">
        <v>469</v>
      </c>
      <c r="E11" s="4">
        <f>HLOOKUP($D$4,'6. Investissements'!$E$3:$BE$185,6,0)</f>
        <v>0</v>
      </c>
    </row>
    <row r="12" spans="1:5" x14ac:dyDescent="0.25">
      <c r="C12">
        <v>503</v>
      </c>
      <c r="D12" t="s">
        <v>470</v>
      </c>
      <c r="E12" s="4">
        <f>HLOOKUP($D$4,'6. Investissements'!$E$3:$BE$185,7,0)</f>
        <v>0</v>
      </c>
    </row>
    <row r="13" spans="1:5" x14ac:dyDescent="0.25">
      <c r="C13">
        <v>504</v>
      </c>
      <c r="D13" t="s">
        <v>471</v>
      </c>
      <c r="E13" s="4">
        <f>HLOOKUP($D$4,'6. Investissements'!$E$3:$BE$185,8,0)</f>
        <v>0</v>
      </c>
    </row>
    <row r="14" spans="1:5" x14ac:dyDescent="0.25">
      <c r="C14">
        <v>505</v>
      </c>
      <c r="D14" t="s">
        <v>472</v>
      </c>
      <c r="E14" s="4">
        <f>HLOOKUP($D$4,'6. Investissements'!$E$3:$BE$185,9,0)</f>
        <v>0</v>
      </c>
    </row>
    <row r="15" spans="1:5" x14ac:dyDescent="0.25">
      <c r="C15">
        <v>506</v>
      </c>
      <c r="D15" t="s">
        <v>473</v>
      </c>
      <c r="E15" s="4">
        <f>HLOOKUP($D$4,'6. Investissements'!$E$3:$BE$185,10,0)</f>
        <v>0</v>
      </c>
    </row>
    <row r="16" spans="1:5" x14ac:dyDescent="0.25">
      <c r="C16">
        <v>509</v>
      </c>
      <c r="D16" t="s">
        <v>474</v>
      </c>
      <c r="E16" s="4">
        <f>HLOOKUP($D$4,'6. Investissements'!$E$3:$BE$185,11,0)</f>
        <v>0</v>
      </c>
    </row>
    <row r="18" spans="2:5" x14ac:dyDescent="0.25">
      <c r="B18" s="69">
        <v>51</v>
      </c>
      <c r="C18" s="69"/>
      <c r="D18" s="69" t="s">
        <v>466</v>
      </c>
      <c r="E18" s="70">
        <f>SUM(E19:E26)</f>
        <v>0</v>
      </c>
    </row>
    <row r="19" spans="2:5" x14ac:dyDescent="0.25">
      <c r="C19">
        <v>510</v>
      </c>
      <c r="D19" t="s">
        <v>467</v>
      </c>
      <c r="E19" s="4">
        <f>HLOOKUP($D$4,'6. Investissements'!$E$3:$BE$185,14,0)</f>
        <v>0</v>
      </c>
    </row>
    <row r="20" spans="2:5" x14ac:dyDescent="0.25">
      <c r="C20">
        <v>511</v>
      </c>
      <c r="D20" t="s">
        <v>468</v>
      </c>
      <c r="E20" s="4">
        <f>HLOOKUP($D$4,'6. Investissements'!$E$3:$BE$185,15,0)</f>
        <v>0</v>
      </c>
    </row>
    <row r="21" spans="2:5" x14ac:dyDescent="0.25">
      <c r="C21">
        <v>512</v>
      </c>
      <c r="D21" t="s">
        <v>469</v>
      </c>
      <c r="E21" s="4">
        <f>HLOOKUP($D$4,'6. Investissements'!$E$3:$BE$185,16,0)</f>
        <v>0</v>
      </c>
    </row>
    <row r="22" spans="2:5" x14ac:dyDescent="0.25">
      <c r="C22">
        <v>513</v>
      </c>
      <c r="D22" t="s">
        <v>470</v>
      </c>
      <c r="E22" s="4">
        <f>HLOOKUP($D$4,'6. Investissements'!$E$3:$BE$185,17,0)</f>
        <v>0</v>
      </c>
    </row>
    <row r="23" spans="2:5" x14ac:dyDescent="0.25">
      <c r="C23">
        <v>514</v>
      </c>
      <c r="D23" t="s">
        <v>471</v>
      </c>
      <c r="E23" s="4">
        <f>HLOOKUP($D$4,'6. Investissements'!$E$3:$BE$185,18,0)</f>
        <v>0</v>
      </c>
    </row>
    <row r="24" spans="2:5" x14ac:dyDescent="0.25">
      <c r="C24">
        <v>515</v>
      </c>
      <c r="D24" t="s">
        <v>472</v>
      </c>
      <c r="E24" s="4">
        <f>HLOOKUP($D$4,'6. Investissements'!$E$3:$BE$185,19,0)</f>
        <v>0</v>
      </c>
    </row>
    <row r="25" spans="2:5" x14ac:dyDescent="0.25">
      <c r="C25">
        <v>516</v>
      </c>
      <c r="D25" t="s">
        <v>473</v>
      </c>
      <c r="E25" s="4">
        <f>HLOOKUP($D$4,'6. Investissements'!$E$3:$BE$185,20,0)</f>
        <v>0</v>
      </c>
    </row>
    <row r="26" spans="2:5" x14ac:dyDescent="0.25">
      <c r="C26">
        <v>519</v>
      </c>
      <c r="D26" t="s">
        <v>474</v>
      </c>
      <c r="E26" s="4">
        <f>HLOOKUP($D$4,'6. Investissements'!$E$3:$BE$185,21,0)</f>
        <v>0</v>
      </c>
    </row>
    <row r="28" spans="2:5" x14ac:dyDescent="0.25">
      <c r="B28" s="69">
        <v>52</v>
      </c>
      <c r="C28" s="69"/>
      <c r="D28" s="69" t="s">
        <v>475</v>
      </c>
      <c r="E28" s="70">
        <f>SUM(E29:E31)</f>
        <v>6219.65</v>
      </c>
    </row>
    <row r="29" spans="2:5" x14ac:dyDescent="0.25">
      <c r="C29">
        <v>520</v>
      </c>
      <c r="D29" t="s">
        <v>375</v>
      </c>
      <c r="E29" s="4">
        <f>HLOOKUP($D$4,'6. Investissements'!$E$3:$BE$185,24,0)</f>
        <v>0</v>
      </c>
    </row>
    <row r="30" spans="2:5" x14ac:dyDescent="0.25">
      <c r="C30">
        <v>521</v>
      </c>
      <c r="D30" t="s">
        <v>376</v>
      </c>
      <c r="E30" s="4">
        <f>HLOOKUP($D$4,'6. Investissements'!$E$3:$BE$185,25,0)</f>
        <v>0</v>
      </c>
    </row>
    <row r="31" spans="2:5" x14ac:dyDescent="0.25">
      <c r="C31">
        <v>529</v>
      </c>
      <c r="D31" t="s">
        <v>476</v>
      </c>
      <c r="E31" s="4">
        <f>HLOOKUP($D$4,'6. Investissements'!$E$3:$BE$185,26,0)</f>
        <v>6219.65</v>
      </c>
    </row>
    <row r="33" spans="2:5" x14ac:dyDescent="0.25">
      <c r="B33" s="69">
        <v>54</v>
      </c>
      <c r="C33" s="69"/>
      <c r="D33" s="69" t="s">
        <v>257</v>
      </c>
      <c r="E33" s="70">
        <f>SUM(E34:E42)</f>
        <v>0</v>
      </c>
    </row>
    <row r="34" spans="2:5" x14ac:dyDescent="0.25">
      <c r="C34">
        <v>540</v>
      </c>
      <c r="D34" t="s">
        <v>477</v>
      </c>
      <c r="E34" s="4">
        <f>HLOOKUP($D$4,'6. Investissements'!$E$3:$BE$185,29,0)</f>
        <v>0</v>
      </c>
    </row>
    <row r="35" spans="2:5" x14ac:dyDescent="0.25">
      <c r="C35">
        <v>541</v>
      </c>
      <c r="D35" t="s">
        <v>478</v>
      </c>
      <c r="E35" s="4">
        <f>HLOOKUP($D$4,'6. Investissements'!$E$3:$BE$185,30,0)</f>
        <v>0</v>
      </c>
    </row>
    <row r="36" spans="2:5" x14ac:dyDescent="0.25">
      <c r="C36">
        <v>542</v>
      </c>
      <c r="D36" t="s">
        <v>479</v>
      </c>
      <c r="E36" s="4">
        <f>HLOOKUP($D$4,'6. Investissements'!$E$3:$BE$185,31,0)</f>
        <v>0</v>
      </c>
    </row>
    <row r="37" spans="2:5" x14ac:dyDescent="0.25">
      <c r="C37">
        <v>543</v>
      </c>
      <c r="D37" t="s">
        <v>480</v>
      </c>
      <c r="E37" s="4">
        <f>HLOOKUP($D$4,'6. Investissements'!$E$3:$BE$185,32,0)</f>
        <v>0</v>
      </c>
    </row>
    <row r="38" spans="2:5" x14ac:dyDescent="0.25">
      <c r="C38">
        <v>544</v>
      </c>
      <c r="D38" t="s">
        <v>481</v>
      </c>
      <c r="E38" s="4">
        <f>HLOOKUP($D$4,'6. Investissements'!$E$3:$BE$185,33,0)</f>
        <v>0</v>
      </c>
    </row>
    <row r="39" spans="2:5" x14ac:dyDescent="0.25">
      <c r="C39">
        <v>545</v>
      </c>
      <c r="D39" t="s">
        <v>482</v>
      </c>
      <c r="E39" s="4">
        <f>HLOOKUP($D$4,'6. Investissements'!$E$3:$BE$185,34,0)</f>
        <v>0</v>
      </c>
    </row>
    <row r="40" spans="2:5" x14ac:dyDescent="0.25">
      <c r="C40">
        <v>546</v>
      </c>
      <c r="D40" t="s">
        <v>483</v>
      </c>
      <c r="E40" s="4">
        <f>HLOOKUP($D$4,'6. Investissements'!$E$3:$BE$185,35,0)</f>
        <v>0</v>
      </c>
    </row>
    <row r="41" spans="2:5" x14ac:dyDescent="0.25">
      <c r="C41">
        <v>547</v>
      </c>
      <c r="D41" t="s">
        <v>484</v>
      </c>
      <c r="E41" s="4">
        <f>HLOOKUP($D$4,'6. Investissements'!$E$3:$BE$185,36,0)</f>
        <v>0</v>
      </c>
    </row>
    <row r="42" spans="2:5" x14ac:dyDescent="0.25">
      <c r="C42">
        <v>548</v>
      </c>
      <c r="D42" t="s">
        <v>485</v>
      </c>
      <c r="E42" s="4">
        <f>HLOOKUP($D$4,'6. Investissements'!$E$3:$BE$185,37,0)</f>
        <v>0</v>
      </c>
    </row>
    <row r="44" spans="2:5" x14ac:dyDescent="0.25">
      <c r="B44" s="69">
        <v>55</v>
      </c>
      <c r="C44" s="69"/>
      <c r="D44" s="69" t="s">
        <v>388</v>
      </c>
      <c r="E44" s="70">
        <f>SUM(E45:E53)</f>
        <v>0</v>
      </c>
    </row>
    <row r="45" spans="2:5" x14ac:dyDescent="0.25">
      <c r="C45">
        <v>550</v>
      </c>
      <c r="D45" t="s">
        <v>477</v>
      </c>
      <c r="E45" s="4">
        <f>HLOOKUP($D$4,'6. Investissements'!$E$3:$BE$185,40,0)</f>
        <v>0</v>
      </c>
    </row>
    <row r="46" spans="2:5" x14ac:dyDescent="0.25">
      <c r="C46">
        <v>551</v>
      </c>
      <c r="D46" t="s">
        <v>478</v>
      </c>
      <c r="E46" s="4">
        <f>HLOOKUP($D$4,'6. Investissements'!$E$3:$BE$185,41,0)</f>
        <v>0</v>
      </c>
    </row>
    <row r="47" spans="2:5" x14ac:dyDescent="0.25">
      <c r="C47">
        <v>552</v>
      </c>
      <c r="D47" t="s">
        <v>479</v>
      </c>
      <c r="E47" s="4">
        <f>HLOOKUP($D$4,'6. Investissements'!$E$3:$BE$185,42,0)</f>
        <v>0</v>
      </c>
    </row>
    <row r="48" spans="2:5" x14ac:dyDescent="0.25">
      <c r="C48">
        <v>553</v>
      </c>
      <c r="D48" t="s">
        <v>480</v>
      </c>
      <c r="E48" s="4">
        <f>HLOOKUP($D$4,'6. Investissements'!$E$3:$BE$185,43,0)</f>
        <v>0</v>
      </c>
    </row>
    <row r="49" spans="2:5" x14ac:dyDescent="0.25">
      <c r="C49">
        <v>554</v>
      </c>
      <c r="D49" t="s">
        <v>481</v>
      </c>
      <c r="E49" s="4">
        <f>HLOOKUP($D$4,'6. Investissements'!$E$3:$BE$185,44,0)</f>
        <v>0</v>
      </c>
    </row>
    <row r="50" spans="2:5" x14ac:dyDescent="0.25">
      <c r="C50">
        <v>555</v>
      </c>
      <c r="D50" t="s">
        <v>482</v>
      </c>
      <c r="E50" s="4">
        <f>HLOOKUP($D$4,'6. Investissements'!$E$3:$BE$185,45,0)</f>
        <v>0</v>
      </c>
    </row>
    <row r="51" spans="2:5" x14ac:dyDescent="0.25">
      <c r="C51">
        <v>556</v>
      </c>
      <c r="D51" t="s">
        <v>483</v>
      </c>
      <c r="E51" s="4">
        <f>HLOOKUP($D$4,'6. Investissements'!$E$3:$BE$185,46,0)</f>
        <v>0</v>
      </c>
    </row>
    <row r="52" spans="2:5" x14ac:dyDescent="0.25">
      <c r="C52">
        <v>557</v>
      </c>
      <c r="D52" t="s">
        <v>484</v>
      </c>
      <c r="E52" s="4">
        <f>HLOOKUP($D$4,'6. Investissements'!$E$3:$BE$185,47,0)</f>
        <v>0</v>
      </c>
    </row>
    <row r="53" spans="2:5" x14ac:dyDescent="0.25">
      <c r="C53">
        <v>558</v>
      </c>
      <c r="D53" t="s">
        <v>485</v>
      </c>
      <c r="E53" s="4">
        <f>HLOOKUP($D$4,'6. Investissements'!$E$3:$BE$185,48,0)</f>
        <v>0</v>
      </c>
    </row>
    <row r="55" spans="2:5" x14ac:dyDescent="0.25">
      <c r="B55" s="69">
        <v>56</v>
      </c>
      <c r="C55" s="69"/>
      <c r="D55" s="69" t="s">
        <v>486</v>
      </c>
      <c r="E55" s="70">
        <f>SUM(E56:E64)</f>
        <v>0</v>
      </c>
    </row>
    <row r="56" spans="2:5" x14ac:dyDescent="0.25">
      <c r="C56">
        <v>560</v>
      </c>
      <c r="D56" t="s">
        <v>477</v>
      </c>
      <c r="E56" s="4">
        <f>HLOOKUP($D$4,'6. Investissements'!$E$3:$BE$185,51,0)</f>
        <v>0</v>
      </c>
    </row>
    <row r="57" spans="2:5" x14ac:dyDescent="0.25">
      <c r="C57">
        <v>561</v>
      </c>
      <c r="D57" t="s">
        <v>478</v>
      </c>
      <c r="E57" s="4">
        <f>HLOOKUP($D$4,'6. Investissements'!$E$3:$BE$185,52,0)</f>
        <v>0</v>
      </c>
    </row>
    <row r="58" spans="2:5" x14ac:dyDescent="0.25">
      <c r="C58">
        <v>562</v>
      </c>
      <c r="D58" t="s">
        <v>479</v>
      </c>
      <c r="E58" s="4">
        <f>HLOOKUP($D$4,'6. Investissements'!$E$3:$BE$185,53,0)</f>
        <v>0</v>
      </c>
    </row>
    <row r="59" spans="2:5" x14ac:dyDescent="0.25">
      <c r="C59">
        <v>563</v>
      </c>
      <c r="D59" t="s">
        <v>480</v>
      </c>
      <c r="E59" s="4">
        <f>HLOOKUP($D$4,'6. Investissements'!$E$3:$BE$185,54,0)</f>
        <v>0</v>
      </c>
    </row>
    <row r="60" spans="2:5" x14ac:dyDescent="0.25">
      <c r="C60">
        <v>564</v>
      </c>
      <c r="D60" t="s">
        <v>481</v>
      </c>
      <c r="E60" s="4">
        <f>HLOOKUP($D$4,'6. Investissements'!$E$3:$BE$185,55,0)</f>
        <v>0</v>
      </c>
    </row>
    <row r="61" spans="2:5" x14ac:dyDescent="0.25">
      <c r="C61">
        <v>565</v>
      </c>
      <c r="D61" t="s">
        <v>482</v>
      </c>
      <c r="E61" s="4">
        <f>HLOOKUP($D$4,'6. Investissements'!$E$3:$BE$185,56,0)</f>
        <v>0</v>
      </c>
    </row>
    <row r="62" spans="2:5" x14ac:dyDescent="0.25">
      <c r="C62">
        <v>566</v>
      </c>
      <c r="D62" t="s">
        <v>483</v>
      </c>
      <c r="E62" s="4">
        <f>HLOOKUP($D$4,'6. Investissements'!$E$3:$BE$185,57,0)</f>
        <v>0</v>
      </c>
    </row>
    <row r="63" spans="2:5" x14ac:dyDescent="0.25">
      <c r="C63">
        <v>567</v>
      </c>
      <c r="D63" t="s">
        <v>484</v>
      </c>
      <c r="E63" s="4">
        <f>HLOOKUP($D$4,'6. Investissements'!$E$3:$BE$185,58,0)</f>
        <v>0</v>
      </c>
    </row>
    <row r="64" spans="2:5" x14ac:dyDescent="0.25">
      <c r="C64">
        <v>568</v>
      </c>
      <c r="D64" t="s">
        <v>485</v>
      </c>
      <c r="E64" s="4">
        <f>HLOOKUP($D$4,'6. Investissements'!$E$3:$BE$185,59,0)</f>
        <v>0</v>
      </c>
    </row>
    <row r="66" spans="2:5" x14ac:dyDescent="0.25">
      <c r="B66" s="69">
        <v>57</v>
      </c>
      <c r="C66" s="69"/>
      <c r="D66" s="69" t="s">
        <v>487</v>
      </c>
      <c r="E66" s="70">
        <f>SUM(E67:E75)</f>
        <v>0</v>
      </c>
    </row>
    <row r="67" spans="2:5" x14ac:dyDescent="0.25">
      <c r="C67">
        <v>570</v>
      </c>
      <c r="D67" t="s">
        <v>477</v>
      </c>
      <c r="E67" s="4">
        <f>HLOOKUP($D$4,'6. Investissements'!$E$3:$BE$185,62,0)</f>
        <v>0</v>
      </c>
    </row>
    <row r="68" spans="2:5" x14ac:dyDescent="0.25">
      <c r="C68">
        <v>571</v>
      </c>
      <c r="D68" t="s">
        <v>478</v>
      </c>
      <c r="E68" s="4">
        <f>HLOOKUP($D$4,'6. Investissements'!$E$3:$BE$185,63,0)</f>
        <v>0</v>
      </c>
    </row>
    <row r="69" spans="2:5" x14ac:dyDescent="0.25">
      <c r="C69">
        <v>572</v>
      </c>
      <c r="D69" t="s">
        <v>479</v>
      </c>
      <c r="E69" s="4">
        <f>HLOOKUP($D$4,'6. Investissements'!$E$3:$BE$185,64,0)</f>
        <v>0</v>
      </c>
    </row>
    <row r="70" spans="2:5" x14ac:dyDescent="0.25">
      <c r="C70">
        <v>573</v>
      </c>
      <c r="D70" t="s">
        <v>480</v>
      </c>
      <c r="E70" s="4">
        <f>HLOOKUP($D$4,'6. Investissements'!$E$3:$BE$185,65,0)</f>
        <v>0</v>
      </c>
    </row>
    <row r="71" spans="2:5" x14ac:dyDescent="0.25">
      <c r="C71">
        <v>574</v>
      </c>
      <c r="D71" t="s">
        <v>481</v>
      </c>
      <c r="E71" s="4">
        <f>HLOOKUP($D$4,'6. Investissements'!$E$3:$BE$185,66,0)</f>
        <v>0</v>
      </c>
    </row>
    <row r="72" spans="2:5" x14ac:dyDescent="0.25">
      <c r="C72">
        <v>575</v>
      </c>
      <c r="D72" t="s">
        <v>482</v>
      </c>
      <c r="E72" s="4">
        <f>HLOOKUP($D$4,'6. Investissements'!$E$3:$BE$185,67,0)</f>
        <v>0</v>
      </c>
    </row>
    <row r="73" spans="2:5" x14ac:dyDescent="0.25">
      <c r="C73">
        <v>576</v>
      </c>
      <c r="D73" t="s">
        <v>483</v>
      </c>
      <c r="E73" s="4">
        <f>HLOOKUP($D$4,'6. Investissements'!$E$3:$BE$185,68,0)</f>
        <v>0</v>
      </c>
    </row>
    <row r="74" spans="2:5" x14ac:dyDescent="0.25">
      <c r="C74">
        <v>577</v>
      </c>
      <c r="D74" t="s">
        <v>484</v>
      </c>
      <c r="E74" s="4">
        <f>HLOOKUP($D$4,'6. Investissements'!$E$3:$BE$185,69,0)</f>
        <v>0</v>
      </c>
    </row>
    <row r="75" spans="2:5" x14ac:dyDescent="0.25">
      <c r="C75">
        <v>578</v>
      </c>
      <c r="D75" t="s">
        <v>485</v>
      </c>
      <c r="E75" s="4">
        <f>HLOOKUP($D$4,'6. Investissements'!$E$3:$BE$185,70,0)</f>
        <v>0</v>
      </c>
    </row>
    <row r="77" spans="2:5" x14ac:dyDescent="0.25">
      <c r="B77" s="69">
        <v>58</v>
      </c>
      <c r="C77" s="69"/>
      <c r="D77" s="69" t="s">
        <v>488</v>
      </c>
      <c r="E77" s="70">
        <f>SUM(E78:E83)</f>
        <v>0</v>
      </c>
    </row>
    <row r="78" spans="2:5" x14ac:dyDescent="0.25">
      <c r="C78">
        <v>580</v>
      </c>
      <c r="D78" t="s">
        <v>465</v>
      </c>
      <c r="E78" s="4">
        <f>HLOOKUP($D$4,'6. Investissements'!$E$3:$BE$185,73,0)</f>
        <v>0</v>
      </c>
    </row>
    <row r="79" spans="2:5" x14ac:dyDescent="0.25">
      <c r="C79">
        <v>582</v>
      </c>
      <c r="D79" t="s">
        <v>475</v>
      </c>
      <c r="E79" s="4">
        <f>HLOOKUP($D$4,'6. Investissements'!$E$3:$BE$185,74,0)</f>
        <v>0</v>
      </c>
    </row>
    <row r="80" spans="2:5" x14ac:dyDescent="0.25">
      <c r="C80">
        <v>584</v>
      </c>
      <c r="D80" t="s">
        <v>257</v>
      </c>
      <c r="E80" s="4">
        <f>HLOOKUP($D$4,'6. Investissements'!$E$3:$BE$185,75,0)</f>
        <v>0</v>
      </c>
    </row>
    <row r="81" spans="1:5" x14ac:dyDescent="0.25">
      <c r="C81">
        <v>585</v>
      </c>
      <c r="D81" t="s">
        <v>388</v>
      </c>
      <c r="E81" s="4">
        <f>HLOOKUP($D$4,'6. Investissements'!$E$3:$BE$185,76,0)</f>
        <v>0</v>
      </c>
    </row>
    <row r="82" spans="1:5" x14ac:dyDescent="0.25">
      <c r="C82">
        <v>586</v>
      </c>
      <c r="D82" t="s">
        <v>489</v>
      </c>
      <c r="E82" s="4">
        <f>HLOOKUP($D$4,'6. Investissements'!$E$3:$BE$185,77,0)</f>
        <v>0</v>
      </c>
    </row>
    <row r="83" spans="1:5" x14ac:dyDescent="0.25">
      <c r="C83">
        <v>589</v>
      </c>
      <c r="D83" t="s">
        <v>490</v>
      </c>
      <c r="E83" s="4">
        <f>HLOOKUP($D$4,'6. Investissements'!$E$3:$BE$185,78,0)</f>
        <v>0</v>
      </c>
    </row>
    <row r="85" spans="1:5" x14ac:dyDescent="0.25">
      <c r="B85" s="69">
        <v>59</v>
      </c>
      <c r="C85" s="69"/>
      <c r="D85" s="69" t="s">
        <v>491</v>
      </c>
      <c r="E85" s="70">
        <f>SUM(E86)</f>
        <v>0</v>
      </c>
    </row>
    <row r="86" spans="1:5" x14ac:dyDescent="0.25">
      <c r="C86">
        <v>590</v>
      </c>
      <c r="D86" t="s">
        <v>491</v>
      </c>
      <c r="E86" s="4">
        <f>HLOOKUP($D$4,'6. Investissements'!$E$3:$BE$185,81,0)</f>
        <v>0</v>
      </c>
    </row>
    <row r="90" spans="1:5" ht="21" x14ac:dyDescent="0.35">
      <c r="A90" s="104">
        <v>6</v>
      </c>
      <c r="B90" s="104"/>
      <c r="C90" s="104"/>
      <c r="D90" s="104" t="s">
        <v>492</v>
      </c>
      <c r="E90" s="187">
        <f>HLOOKUP($D$4,'6. Investissements'!$E$3:$BE$185,85,0)</f>
        <v>0</v>
      </c>
    </row>
    <row r="91" spans="1:5" x14ac:dyDescent="0.25">
      <c r="A91" s="7"/>
      <c r="B91" s="105">
        <v>60</v>
      </c>
      <c r="C91" s="105"/>
      <c r="D91" s="105" t="s">
        <v>493</v>
      </c>
      <c r="E91" s="103">
        <f>SUM(E92:E99)</f>
        <v>0</v>
      </c>
    </row>
    <row r="92" spans="1:5" x14ac:dyDescent="0.25">
      <c r="C92">
        <v>600</v>
      </c>
      <c r="D92" t="s">
        <v>467</v>
      </c>
      <c r="E92" s="4">
        <f>HLOOKUP($D$4,'6. Investissements'!$E$3:$BE$185,87,0)</f>
        <v>0</v>
      </c>
    </row>
    <row r="93" spans="1:5" x14ac:dyDescent="0.25">
      <c r="C93">
        <v>601</v>
      </c>
      <c r="D93" t="s">
        <v>468</v>
      </c>
      <c r="E93" s="4">
        <f>HLOOKUP($D$4,'6. Investissements'!$E$3:$BE$185,88,0)</f>
        <v>0</v>
      </c>
    </row>
    <row r="94" spans="1:5" x14ac:dyDescent="0.25">
      <c r="C94">
        <v>602</v>
      </c>
      <c r="D94" t="s">
        <v>469</v>
      </c>
      <c r="E94" s="4">
        <f>HLOOKUP($D$4,'6. Investissements'!$E$3:$BE$185,89,0)</f>
        <v>0</v>
      </c>
    </row>
    <row r="95" spans="1:5" x14ac:dyDescent="0.25">
      <c r="C95">
        <v>603</v>
      </c>
      <c r="D95" t="s">
        <v>470</v>
      </c>
      <c r="E95" s="4">
        <f>HLOOKUP($D$4,'6. Investissements'!$E$3:$BE$185,90,0)</f>
        <v>0</v>
      </c>
    </row>
    <row r="96" spans="1:5" x14ac:dyDescent="0.25">
      <c r="C96">
        <v>604</v>
      </c>
      <c r="D96" t="s">
        <v>471</v>
      </c>
      <c r="E96" s="4">
        <f>HLOOKUP($D$4,'6. Investissements'!$E$3:$BE$185,91,0)</f>
        <v>0</v>
      </c>
    </row>
    <row r="97" spans="2:5" x14ac:dyDescent="0.25">
      <c r="C97">
        <v>605</v>
      </c>
      <c r="D97" t="s">
        <v>472</v>
      </c>
      <c r="E97" s="4">
        <f>HLOOKUP($D$4,'6. Investissements'!$E$3:$BE$185,92,0)</f>
        <v>0</v>
      </c>
    </row>
    <row r="98" spans="2:5" x14ac:dyDescent="0.25">
      <c r="C98">
        <v>606</v>
      </c>
      <c r="D98" t="s">
        <v>473</v>
      </c>
      <c r="E98" s="4">
        <f>HLOOKUP($D$4,'6. Investissements'!$E$3:$BE$185,93,0)</f>
        <v>0</v>
      </c>
    </row>
    <row r="99" spans="2:5" x14ac:dyDescent="0.25">
      <c r="C99">
        <v>609</v>
      </c>
      <c r="D99" t="s">
        <v>474</v>
      </c>
      <c r="E99" s="4">
        <f>HLOOKUP($D$4,'6. Investissements'!$E$3:$BE$185,94,0)</f>
        <v>0</v>
      </c>
    </row>
    <row r="101" spans="2:5" x14ac:dyDescent="0.25">
      <c r="B101" s="105">
        <v>61</v>
      </c>
      <c r="C101" s="105"/>
      <c r="D101" s="105" t="s">
        <v>494</v>
      </c>
      <c r="E101" s="103">
        <f>SUM(E102:E109)</f>
        <v>0</v>
      </c>
    </row>
    <row r="102" spans="2:5" x14ac:dyDescent="0.25">
      <c r="C102">
        <v>610</v>
      </c>
      <c r="D102" t="s">
        <v>467</v>
      </c>
      <c r="E102" s="4">
        <f>HLOOKUP($D$4,'6. Investissements'!$E$3:$BE$185,97,0)</f>
        <v>0</v>
      </c>
    </row>
    <row r="103" spans="2:5" x14ac:dyDescent="0.25">
      <c r="C103">
        <v>611</v>
      </c>
      <c r="D103" t="s">
        <v>468</v>
      </c>
      <c r="E103" s="4">
        <f>HLOOKUP($D$4,'6. Investissements'!$E$3:$BE$185,98,0)</f>
        <v>0</v>
      </c>
    </row>
    <row r="104" spans="2:5" x14ac:dyDescent="0.25">
      <c r="C104">
        <v>612</v>
      </c>
      <c r="D104" t="s">
        <v>469</v>
      </c>
      <c r="E104" s="4">
        <f>HLOOKUP($D$4,'6. Investissements'!$E$3:$BE$185,99,0)</f>
        <v>0</v>
      </c>
    </row>
    <row r="105" spans="2:5" x14ac:dyDescent="0.25">
      <c r="C105">
        <v>613</v>
      </c>
      <c r="D105" t="s">
        <v>470</v>
      </c>
      <c r="E105" s="4">
        <f>HLOOKUP($D$4,'6. Investissements'!$E$3:$BE$185,100,0)</f>
        <v>0</v>
      </c>
    </row>
    <row r="106" spans="2:5" x14ac:dyDescent="0.25">
      <c r="C106">
        <v>614</v>
      </c>
      <c r="D106" t="s">
        <v>471</v>
      </c>
      <c r="E106" s="4">
        <f>HLOOKUP($D$4,'6. Investissements'!$E$3:$BE$185,101,0)</f>
        <v>0</v>
      </c>
    </row>
    <row r="107" spans="2:5" x14ac:dyDescent="0.25">
      <c r="C107">
        <v>615</v>
      </c>
      <c r="D107" t="s">
        <v>472</v>
      </c>
      <c r="E107" s="4">
        <f>HLOOKUP($D$4,'6. Investissements'!$E$3:$BE$185,102,0)</f>
        <v>0</v>
      </c>
    </row>
    <row r="108" spans="2:5" x14ac:dyDescent="0.25">
      <c r="C108">
        <v>616</v>
      </c>
      <c r="D108" t="s">
        <v>473</v>
      </c>
      <c r="E108" s="4">
        <f>HLOOKUP($D$4,'6. Investissements'!$E$3:$BE$185,103,0)</f>
        <v>0</v>
      </c>
    </row>
    <row r="109" spans="2:5" x14ac:dyDescent="0.25">
      <c r="C109">
        <v>619</v>
      </c>
      <c r="D109" t="s">
        <v>474</v>
      </c>
      <c r="E109" s="4">
        <f>HLOOKUP($D$4,'6. Investissements'!$E$3:$BE$185,104,0)</f>
        <v>0</v>
      </c>
    </row>
    <row r="111" spans="2:5" x14ac:dyDescent="0.25">
      <c r="B111" s="105">
        <v>62</v>
      </c>
      <c r="C111" s="105"/>
      <c r="D111" s="105" t="s">
        <v>495</v>
      </c>
      <c r="E111" s="103">
        <f>SUM(E112:E114)</f>
        <v>0</v>
      </c>
    </row>
    <row r="112" spans="2:5" x14ac:dyDescent="0.25">
      <c r="C112">
        <v>620</v>
      </c>
      <c r="D112" t="s">
        <v>375</v>
      </c>
      <c r="E112" s="4">
        <f>HLOOKUP($D$4,'6. Investissements'!$E$3:$BE$185,107,0)</f>
        <v>0</v>
      </c>
    </row>
    <row r="113" spans="2:5" x14ac:dyDescent="0.25">
      <c r="C113">
        <v>621</v>
      </c>
      <c r="D113" t="s">
        <v>376</v>
      </c>
      <c r="E113" s="4">
        <f>HLOOKUP($D$4,'6. Investissements'!$E$3:$BE$185,108,0)</f>
        <v>0</v>
      </c>
    </row>
    <row r="114" spans="2:5" x14ac:dyDescent="0.25">
      <c r="C114">
        <v>629</v>
      </c>
      <c r="D114" t="s">
        <v>476</v>
      </c>
      <c r="E114" s="4">
        <f>HLOOKUP($D$4,'6. Investissements'!$E$3:$BE$185,109,0)</f>
        <v>0</v>
      </c>
    </row>
    <row r="116" spans="2:5" x14ac:dyDescent="0.25">
      <c r="B116" s="105">
        <v>63</v>
      </c>
      <c r="C116" s="105"/>
      <c r="D116" s="105" t="s">
        <v>496</v>
      </c>
      <c r="E116" s="103">
        <f>SUM(E117:E125)</f>
        <v>0</v>
      </c>
    </row>
    <row r="117" spans="2:5" x14ac:dyDescent="0.25">
      <c r="C117">
        <v>630</v>
      </c>
      <c r="D117" t="s">
        <v>477</v>
      </c>
      <c r="E117" s="4">
        <f>HLOOKUP($D$4,'6. Investissements'!$E$3:$BE$185,112,0)</f>
        <v>0</v>
      </c>
    </row>
    <row r="118" spans="2:5" x14ac:dyDescent="0.25">
      <c r="C118">
        <v>631</v>
      </c>
      <c r="D118" t="s">
        <v>478</v>
      </c>
      <c r="E118" s="4">
        <f>HLOOKUP($D$4,'6. Investissements'!$E$3:$BE$185,113,0)</f>
        <v>0</v>
      </c>
    </row>
    <row r="119" spans="2:5" x14ac:dyDescent="0.25">
      <c r="C119">
        <v>632</v>
      </c>
      <c r="D119" t="s">
        <v>479</v>
      </c>
      <c r="E119" s="4">
        <f>HLOOKUP($D$4,'6. Investissements'!$E$3:$BE$185,114,0)</f>
        <v>0</v>
      </c>
    </row>
    <row r="120" spans="2:5" x14ac:dyDescent="0.25">
      <c r="C120">
        <v>633</v>
      </c>
      <c r="D120" t="s">
        <v>480</v>
      </c>
      <c r="E120" s="4">
        <f>HLOOKUP($D$4,'6. Investissements'!$E$3:$BE$185,115,0)</f>
        <v>0</v>
      </c>
    </row>
    <row r="121" spans="2:5" x14ac:dyDescent="0.25">
      <c r="C121">
        <v>634</v>
      </c>
      <c r="D121" t="s">
        <v>481</v>
      </c>
      <c r="E121" s="4">
        <f>HLOOKUP($D$4,'6. Investissements'!$E$3:$BE$185,116,0)</f>
        <v>0</v>
      </c>
    </row>
    <row r="122" spans="2:5" x14ac:dyDescent="0.25">
      <c r="C122">
        <v>635</v>
      </c>
      <c r="D122" t="s">
        <v>482</v>
      </c>
      <c r="E122" s="4">
        <f>HLOOKUP($D$4,'6. Investissements'!$E$3:$BE$185,117,0)</f>
        <v>0</v>
      </c>
    </row>
    <row r="123" spans="2:5" x14ac:dyDescent="0.25">
      <c r="C123">
        <v>636</v>
      </c>
      <c r="D123" t="s">
        <v>483</v>
      </c>
      <c r="E123" s="4">
        <f>HLOOKUP($D$4,'6. Investissements'!$E$3:$BE$185,118,0)</f>
        <v>0</v>
      </c>
    </row>
    <row r="124" spans="2:5" x14ac:dyDescent="0.25">
      <c r="C124">
        <v>637</v>
      </c>
      <c r="D124" t="s">
        <v>484</v>
      </c>
      <c r="E124" s="4">
        <f>HLOOKUP($D$4,'6. Investissements'!$E$3:$BE$185,119,0)</f>
        <v>0</v>
      </c>
    </row>
    <row r="125" spans="2:5" x14ac:dyDescent="0.25">
      <c r="C125">
        <v>638</v>
      </c>
      <c r="D125" t="s">
        <v>485</v>
      </c>
      <c r="E125" s="4">
        <f>HLOOKUP($D$4,'6. Investissements'!$E$3:$BE$185,120,0)</f>
        <v>0</v>
      </c>
    </row>
    <row r="127" spans="2:5" x14ac:dyDescent="0.25">
      <c r="B127" s="105">
        <v>64</v>
      </c>
      <c r="C127" s="105"/>
      <c r="D127" s="105" t="s">
        <v>497</v>
      </c>
      <c r="E127" s="103">
        <f>SUM(E128:E136)</f>
        <v>0</v>
      </c>
    </row>
    <row r="128" spans="2:5" x14ac:dyDescent="0.25">
      <c r="C128">
        <v>640</v>
      </c>
      <c r="D128" t="s">
        <v>477</v>
      </c>
      <c r="E128" s="4">
        <f>HLOOKUP($D$4,'6. Investissements'!$E$3:$BE$185,123,0)</f>
        <v>0</v>
      </c>
    </row>
    <row r="129" spans="2:5" x14ac:dyDescent="0.25">
      <c r="C129">
        <v>641</v>
      </c>
      <c r="D129" t="s">
        <v>478</v>
      </c>
      <c r="E129" s="4">
        <f>HLOOKUP($D$4,'6. Investissements'!$E$3:$BE$185,124,0)</f>
        <v>0</v>
      </c>
    </row>
    <row r="130" spans="2:5" x14ac:dyDescent="0.25">
      <c r="C130">
        <v>642</v>
      </c>
      <c r="D130" t="s">
        <v>479</v>
      </c>
      <c r="E130" s="4">
        <f>HLOOKUP($D$4,'6. Investissements'!$E$3:$BE$185,125,0)</f>
        <v>0</v>
      </c>
    </row>
    <row r="131" spans="2:5" x14ac:dyDescent="0.25">
      <c r="C131">
        <v>643</v>
      </c>
      <c r="D131" t="s">
        <v>480</v>
      </c>
      <c r="E131" s="4">
        <f>HLOOKUP($D$4,'6. Investissements'!$E$3:$BE$185,126,0)</f>
        <v>0</v>
      </c>
    </row>
    <row r="132" spans="2:5" x14ac:dyDescent="0.25">
      <c r="C132">
        <v>644</v>
      </c>
      <c r="D132" t="s">
        <v>481</v>
      </c>
      <c r="E132" s="4">
        <f>HLOOKUP($D$4,'6. Investissements'!$E$3:$BE$185,127,0)</f>
        <v>0</v>
      </c>
    </row>
    <row r="133" spans="2:5" x14ac:dyDescent="0.25">
      <c r="C133">
        <v>645</v>
      </c>
      <c r="D133" t="s">
        <v>482</v>
      </c>
      <c r="E133" s="4">
        <f>HLOOKUP($D$4,'6. Investissements'!$E$3:$BE$185,128,0)</f>
        <v>0</v>
      </c>
    </row>
    <row r="134" spans="2:5" x14ac:dyDescent="0.25">
      <c r="C134">
        <v>646</v>
      </c>
      <c r="D134" t="s">
        <v>483</v>
      </c>
      <c r="E134" s="4">
        <f>HLOOKUP($D$4,'6. Investissements'!$E$3:$BE$185,129,0)</f>
        <v>0</v>
      </c>
    </row>
    <row r="135" spans="2:5" x14ac:dyDescent="0.25">
      <c r="C135">
        <v>647</v>
      </c>
      <c r="D135" t="s">
        <v>484</v>
      </c>
      <c r="E135" s="4">
        <f>HLOOKUP($D$4,'6. Investissements'!$E$3:$BE$185,130,0)</f>
        <v>0</v>
      </c>
    </row>
    <row r="136" spans="2:5" x14ac:dyDescent="0.25">
      <c r="C136">
        <v>648</v>
      </c>
      <c r="D136" t="s">
        <v>485</v>
      </c>
      <c r="E136" s="4">
        <f>HLOOKUP($D$4,'6. Investissements'!$E$3:$BE$185,131,0)</f>
        <v>0</v>
      </c>
    </row>
    <row r="138" spans="2:5" x14ac:dyDescent="0.25">
      <c r="B138" s="105">
        <v>65</v>
      </c>
      <c r="C138" s="105"/>
      <c r="D138" s="105" t="s">
        <v>498</v>
      </c>
      <c r="E138" s="103">
        <f>SUM(E139:E147)</f>
        <v>0</v>
      </c>
    </row>
    <row r="139" spans="2:5" x14ac:dyDescent="0.25">
      <c r="C139">
        <v>650</v>
      </c>
      <c r="D139" t="s">
        <v>477</v>
      </c>
      <c r="E139" s="4">
        <f>HLOOKUP($D$4,'6. Investissements'!$E$3:$BE$185,134,0)</f>
        <v>0</v>
      </c>
    </row>
    <row r="140" spans="2:5" x14ac:dyDescent="0.25">
      <c r="C140">
        <v>651</v>
      </c>
      <c r="D140" t="s">
        <v>478</v>
      </c>
      <c r="E140" s="4">
        <f>HLOOKUP($D$4,'6. Investissements'!$E$3:$BE$185,135,0)</f>
        <v>0</v>
      </c>
    </row>
    <row r="141" spans="2:5" x14ac:dyDescent="0.25">
      <c r="C141">
        <v>652</v>
      </c>
      <c r="D141" t="s">
        <v>479</v>
      </c>
      <c r="E141" s="4">
        <f>HLOOKUP($D$4,'6. Investissements'!$E$3:$BE$185,136,0)</f>
        <v>0</v>
      </c>
    </row>
    <row r="142" spans="2:5" x14ac:dyDescent="0.25">
      <c r="C142">
        <v>653</v>
      </c>
      <c r="D142" t="s">
        <v>480</v>
      </c>
      <c r="E142" s="4">
        <f>HLOOKUP($D$4,'6. Investissements'!$E$3:$BE$185,137,0)</f>
        <v>0</v>
      </c>
    </row>
    <row r="143" spans="2:5" x14ac:dyDescent="0.25">
      <c r="C143">
        <v>654</v>
      </c>
      <c r="D143" t="s">
        <v>481</v>
      </c>
      <c r="E143" s="4">
        <f>HLOOKUP($D$4,'6. Investissements'!$E$3:$BE$185,138,0)</f>
        <v>0</v>
      </c>
    </row>
    <row r="144" spans="2:5" x14ac:dyDescent="0.25">
      <c r="C144">
        <v>655</v>
      </c>
      <c r="D144" t="s">
        <v>482</v>
      </c>
      <c r="E144" s="4">
        <f>HLOOKUP($D$4,'6. Investissements'!$E$3:$BE$185,139,0)</f>
        <v>0</v>
      </c>
    </row>
    <row r="145" spans="2:5" x14ac:dyDescent="0.25">
      <c r="C145">
        <v>656</v>
      </c>
      <c r="D145" t="s">
        <v>483</v>
      </c>
      <c r="E145" s="4">
        <f>HLOOKUP($D$4,'6. Investissements'!$E$3:$BE$185,140,0)</f>
        <v>0</v>
      </c>
    </row>
    <row r="146" spans="2:5" x14ac:dyDescent="0.25">
      <c r="C146">
        <v>657</v>
      </c>
      <c r="D146" t="s">
        <v>484</v>
      </c>
      <c r="E146" s="4">
        <f>HLOOKUP($D$4,'6. Investissements'!$E$3:$BE$185,141,0)</f>
        <v>0</v>
      </c>
    </row>
    <row r="147" spans="2:5" x14ac:dyDescent="0.25">
      <c r="C147">
        <v>658</v>
      </c>
      <c r="D147" t="s">
        <v>485</v>
      </c>
      <c r="E147" s="4">
        <f>HLOOKUP($D$4,'6. Investissements'!$E$3:$BE$185,142,0)</f>
        <v>0</v>
      </c>
    </row>
    <row r="149" spans="2:5" x14ac:dyDescent="0.25">
      <c r="B149" s="105">
        <v>66</v>
      </c>
      <c r="C149" s="105"/>
      <c r="D149" s="105" t="s">
        <v>499</v>
      </c>
      <c r="E149" s="103">
        <f>SUM(E150:E158)</f>
        <v>0</v>
      </c>
    </row>
    <row r="150" spans="2:5" x14ac:dyDescent="0.25">
      <c r="C150">
        <v>660</v>
      </c>
      <c r="D150" t="s">
        <v>477</v>
      </c>
      <c r="E150" s="4">
        <f>HLOOKUP($D$4,'6. Investissements'!$E$3:$BE$185,145,0)</f>
        <v>0</v>
      </c>
    </row>
    <row r="151" spans="2:5" x14ac:dyDescent="0.25">
      <c r="C151">
        <v>661</v>
      </c>
      <c r="D151" t="s">
        <v>478</v>
      </c>
      <c r="E151" s="4">
        <f>HLOOKUP($D$4,'6. Investissements'!$E$3:$BE$185,146,0)</f>
        <v>0</v>
      </c>
    </row>
    <row r="152" spans="2:5" x14ac:dyDescent="0.25">
      <c r="C152">
        <v>662</v>
      </c>
      <c r="D152" t="s">
        <v>479</v>
      </c>
      <c r="E152" s="4">
        <f>HLOOKUP($D$4,'6. Investissements'!$E$3:$BE$185,147,0)</f>
        <v>0</v>
      </c>
    </row>
    <row r="153" spans="2:5" x14ac:dyDescent="0.25">
      <c r="C153">
        <v>663</v>
      </c>
      <c r="D153" t="s">
        <v>480</v>
      </c>
      <c r="E153" s="4">
        <f>HLOOKUP($D$4,'6. Investissements'!$E$3:$BE$185,148,0)</f>
        <v>0</v>
      </c>
    </row>
    <row r="154" spans="2:5" x14ac:dyDescent="0.25">
      <c r="C154">
        <v>664</v>
      </c>
      <c r="D154" t="s">
        <v>481</v>
      </c>
      <c r="E154" s="4">
        <f>HLOOKUP($D$4,'6. Investissements'!$E$3:$BE$185,149,0)</f>
        <v>0</v>
      </c>
    </row>
    <row r="155" spans="2:5" x14ac:dyDescent="0.25">
      <c r="C155">
        <v>665</v>
      </c>
      <c r="D155" t="s">
        <v>482</v>
      </c>
      <c r="E155" s="4">
        <f>HLOOKUP($D$4,'6. Investissements'!$E$3:$BE$185,150,0)</f>
        <v>0</v>
      </c>
    </row>
    <row r="156" spans="2:5" x14ac:dyDescent="0.25">
      <c r="C156">
        <v>666</v>
      </c>
      <c r="D156" t="s">
        <v>483</v>
      </c>
      <c r="E156" s="4">
        <f>HLOOKUP($D$4,'6. Investissements'!$E$3:$BE$185,151,0)</f>
        <v>0</v>
      </c>
    </row>
    <row r="157" spans="2:5" x14ac:dyDescent="0.25">
      <c r="C157">
        <v>667</v>
      </c>
      <c r="D157" t="s">
        <v>484</v>
      </c>
      <c r="E157" s="4">
        <f>HLOOKUP($D$4,'6. Investissements'!$E$3:$BE$185,152,0)</f>
        <v>0</v>
      </c>
    </row>
    <row r="158" spans="2:5" x14ac:dyDescent="0.25">
      <c r="C158">
        <v>668</v>
      </c>
      <c r="D158" t="s">
        <v>485</v>
      </c>
      <c r="E158" s="4">
        <f>HLOOKUP($D$4,'6. Investissements'!$E$3:$BE$185,153,0)</f>
        <v>0</v>
      </c>
    </row>
    <row r="160" spans="2:5" x14ac:dyDescent="0.25">
      <c r="B160" s="105">
        <v>67</v>
      </c>
      <c r="C160" s="105"/>
      <c r="D160" s="105" t="s">
        <v>487</v>
      </c>
      <c r="E160" s="103">
        <f>SUM(E161:E169)</f>
        <v>0</v>
      </c>
    </row>
    <row r="161" spans="2:5" x14ac:dyDescent="0.25">
      <c r="C161">
        <v>670</v>
      </c>
      <c r="D161" t="s">
        <v>477</v>
      </c>
      <c r="E161" s="4">
        <f>HLOOKUP($D$4,'6. Investissements'!$E$3:$BE$185,156,0)</f>
        <v>0</v>
      </c>
    </row>
    <row r="162" spans="2:5" x14ac:dyDescent="0.25">
      <c r="C162">
        <v>671</v>
      </c>
      <c r="D162" t="s">
        <v>478</v>
      </c>
      <c r="E162" s="4">
        <f>HLOOKUP($D$4,'6. Investissements'!$E$3:$BE$185,157,0)</f>
        <v>0</v>
      </c>
    </row>
    <row r="163" spans="2:5" x14ac:dyDescent="0.25">
      <c r="C163">
        <v>672</v>
      </c>
      <c r="D163" t="s">
        <v>479</v>
      </c>
      <c r="E163" s="4">
        <f>HLOOKUP($D$4,'6. Investissements'!$E$3:$BE$185,158,0)</f>
        <v>0</v>
      </c>
    </row>
    <row r="164" spans="2:5" x14ac:dyDescent="0.25">
      <c r="C164">
        <v>673</v>
      </c>
      <c r="D164" t="s">
        <v>480</v>
      </c>
      <c r="E164" s="4">
        <f>HLOOKUP($D$4,'6. Investissements'!$E$3:$BE$185,159,0)</f>
        <v>0</v>
      </c>
    </row>
    <row r="165" spans="2:5" x14ac:dyDescent="0.25">
      <c r="C165">
        <v>674</v>
      </c>
      <c r="D165" t="s">
        <v>481</v>
      </c>
      <c r="E165" s="4">
        <f>HLOOKUP($D$4,'6. Investissements'!$E$3:$BE$185,160,0)</f>
        <v>0</v>
      </c>
    </row>
    <row r="166" spans="2:5" x14ac:dyDescent="0.25">
      <c r="C166">
        <v>675</v>
      </c>
      <c r="D166" t="s">
        <v>482</v>
      </c>
      <c r="E166" s="4">
        <f>HLOOKUP($D$4,'6. Investissements'!$E$3:$BE$185,161,0)</f>
        <v>0</v>
      </c>
    </row>
    <row r="167" spans="2:5" x14ac:dyDescent="0.25">
      <c r="C167">
        <v>676</v>
      </c>
      <c r="D167" t="s">
        <v>483</v>
      </c>
      <c r="E167" s="4">
        <f>HLOOKUP($D$4,'6. Investissements'!$E$3:$BE$185,162,0)</f>
        <v>0</v>
      </c>
    </row>
    <row r="168" spans="2:5" x14ac:dyDescent="0.25">
      <c r="C168">
        <v>677</v>
      </c>
      <c r="D168" t="s">
        <v>484</v>
      </c>
      <c r="E168" s="4">
        <f>HLOOKUP($D$4,'6. Investissements'!$E$3:$BE$185,163,0)</f>
        <v>0</v>
      </c>
    </row>
    <row r="169" spans="2:5" x14ac:dyDescent="0.25">
      <c r="C169">
        <v>678</v>
      </c>
      <c r="D169" t="s">
        <v>485</v>
      </c>
      <c r="E169" s="4">
        <f>HLOOKUP($D$4,'6. Investissements'!$E$3:$BE$185,164,0)</f>
        <v>0</v>
      </c>
    </row>
    <row r="171" spans="2:5" x14ac:dyDescent="0.25">
      <c r="B171" s="105">
        <v>68</v>
      </c>
      <c r="C171" s="105"/>
      <c r="D171" s="105" t="s">
        <v>500</v>
      </c>
      <c r="E171" s="188">
        <f>SUM(E172:E178)</f>
        <v>0</v>
      </c>
    </row>
    <row r="172" spans="2:5" x14ac:dyDescent="0.25">
      <c r="C172">
        <v>680</v>
      </c>
      <c r="D172" t="s">
        <v>465</v>
      </c>
      <c r="E172" s="4">
        <f>HLOOKUP($D$4,'6. Investissements'!$E$3:$BE$185,167,0)</f>
        <v>0</v>
      </c>
    </row>
    <row r="173" spans="2:5" x14ac:dyDescent="0.25">
      <c r="C173">
        <v>682</v>
      </c>
      <c r="D173" t="s">
        <v>475</v>
      </c>
      <c r="E173" s="4">
        <f>HLOOKUP($D$4,'6. Investissements'!$E$3:$BE$185,168,0)</f>
        <v>0</v>
      </c>
    </row>
    <row r="174" spans="2:5" x14ac:dyDescent="0.25">
      <c r="C174">
        <v>683</v>
      </c>
      <c r="D174" t="s">
        <v>501</v>
      </c>
      <c r="E174" s="4">
        <f>HLOOKUP($D$4,'6. Investissements'!$E$3:$BE$185,169,0)</f>
        <v>0</v>
      </c>
    </row>
    <row r="175" spans="2:5" x14ac:dyDescent="0.25">
      <c r="C175">
        <v>684</v>
      </c>
      <c r="D175" t="s">
        <v>257</v>
      </c>
      <c r="E175" s="4">
        <f>HLOOKUP($D$4,'6. Investissements'!$E$3:$BE$185,170,0)</f>
        <v>0</v>
      </c>
    </row>
    <row r="176" spans="2:5" x14ac:dyDescent="0.25">
      <c r="C176">
        <v>685</v>
      </c>
      <c r="D176" t="s">
        <v>388</v>
      </c>
      <c r="E176" s="4">
        <f>HLOOKUP($D$4,'6. Investissements'!$E$3:$BE$185,171,0)</f>
        <v>0</v>
      </c>
    </row>
    <row r="177" spans="2:5" x14ac:dyDescent="0.25">
      <c r="C177">
        <v>686</v>
      </c>
      <c r="D177" t="s">
        <v>502</v>
      </c>
      <c r="E177" s="4">
        <f>HLOOKUP($D$4,'6. Investissements'!$E$3:$BE$185,172,0)</f>
        <v>0</v>
      </c>
    </row>
    <row r="178" spans="2:5" x14ac:dyDescent="0.25">
      <c r="C178">
        <v>689</v>
      </c>
      <c r="D178" t="s">
        <v>503</v>
      </c>
      <c r="E178" s="4">
        <f>HLOOKUP($D$4,'6. Investissements'!$E$3:$BE$185,173,0)</f>
        <v>0</v>
      </c>
    </row>
    <row r="180" spans="2:5" x14ac:dyDescent="0.25">
      <c r="B180" s="105">
        <v>69</v>
      </c>
      <c r="C180" s="105"/>
      <c r="D180" s="105" t="s">
        <v>504</v>
      </c>
      <c r="E180" s="103">
        <f>SUM(E181)</f>
        <v>6219.65</v>
      </c>
    </row>
    <row r="181" spans="2:5" x14ac:dyDescent="0.25">
      <c r="C181">
        <v>690</v>
      </c>
      <c r="D181" t="s">
        <v>504</v>
      </c>
      <c r="E181" s="4">
        <f>HLOOKUP($D$4,'6. Investissements'!$E$3:$BE$185,176,0)</f>
        <v>6219.65</v>
      </c>
    </row>
    <row r="185" spans="2:5" ht="18.75" x14ac:dyDescent="0.3">
      <c r="D185" s="189" t="s">
        <v>225</v>
      </c>
      <c r="E185" s="190">
        <f>HLOOKUP($D$4,'6.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1" t="s">
        <v>505</v>
      </c>
      <c r="B8" s="191"/>
      <c r="C8" s="191"/>
      <c r="D8" s="191"/>
      <c r="E8" s="191"/>
      <c r="F8" s="191"/>
      <c r="G8" s="191"/>
      <c r="H8" s="191"/>
    </row>
    <row r="10" spans="1:8" x14ac:dyDescent="0.25">
      <c r="A10" s="185" t="s">
        <v>662</v>
      </c>
    </row>
    <row r="12" spans="1:8" x14ac:dyDescent="0.25">
      <c r="A12" s="7" t="s">
        <v>506</v>
      </c>
    </row>
    <row r="14" spans="1:8" ht="90" customHeight="1" x14ac:dyDescent="0.25">
      <c r="A14" s="217" t="s">
        <v>663</v>
      </c>
      <c r="B14" s="218"/>
      <c r="C14" s="218"/>
      <c r="D14" s="218"/>
      <c r="E14" s="218"/>
      <c r="F14" s="218"/>
      <c r="G14" s="218"/>
      <c r="H14" s="219"/>
    </row>
    <row r="16" spans="1:8" x14ac:dyDescent="0.25">
      <c r="A16" s="3"/>
      <c r="B16" s="3" t="s">
        <v>664</v>
      </c>
      <c r="C16" s="3" t="s">
        <v>665</v>
      </c>
      <c r="D16" t="s">
        <v>666</v>
      </c>
    </row>
    <row r="17" spans="1:8" x14ac:dyDescent="0.25">
      <c r="C17" s="3" t="s">
        <v>667</v>
      </c>
      <c r="D17" t="s">
        <v>668</v>
      </c>
    </row>
    <row r="18" spans="1:8" x14ac:dyDescent="0.25">
      <c r="C18" s="3" t="s">
        <v>669</v>
      </c>
      <c r="D18" t="s">
        <v>670</v>
      </c>
    </row>
    <row r="19" spans="1:8" x14ac:dyDescent="0.25">
      <c r="C19" s="3" t="s">
        <v>671</v>
      </c>
      <c r="D19" t="s">
        <v>672</v>
      </c>
    </row>
    <row r="20" spans="1:8" x14ac:dyDescent="0.25">
      <c r="C20" s="3" t="s">
        <v>673</v>
      </c>
      <c r="D20" t="s">
        <v>674</v>
      </c>
    </row>
    <row r="22" spans="1:8" x14ac:dyDescent="0.25">
      <c r="A22" s="7" t="s">
        <v>517</v>
      </c>
    </row>
    <row r="24" spans="1:8" ht="90" customHeight="1" x14ac:dyDescent="0.25">
      <c r="A24" s="217" t="s">
        <v>675</v>
      </c>
      <c r="B24" s="218"/>
      <c r="C24" s="218"/>
      <c r="D24" s="218"/>
      <c r="E24" s="218"/>
      <c r="F24" s="218"/>
      <c r="G24" s="218"/>
      <c r="H24" s="219"/>
    </row>
    <row r="26" spans="1:8" x14ac:dyDescent="0.25">
      <c r="A26" s="3"/>
      <c r="B26" s="3" t="s">
        <v>676</v>
      </c>
      <c r="C26" s="3" t="s">
        <v>677</v>
      </c>
      <c r="D26" t="s">
        <v>678</v>
      </c>
    </row>
    <row r="27" spans="1:8" x14ac:dyDescent="0.25">
      <c r="C27" s="3" t="s">
        <v>679</v>
      </c>
      <c r="D27" t="s">
        <v>680</v>
      </c>
    </row>
    <row r="28" spans="1:8" x14ac:dyDescent="0.25">
      <c r="C28" s="3" t="s">
        <v>681</v>
      </c>
      <c r="D28" t="s">
        <v>682</v>
      </c>
    </row>
    <row r="30" spans="1:8" x14ac:dyDescent="0.25">
      <c r="A30" s="7" t="s">
        <v>580</v>
      </c>
    </row>
    <row r="32" spans="1:8" ht="90" customHeight="1" x14ac:dyDescent="0.25">
      <c r="A32" s="217" t="s">
        <v>683</v>
      </c>
      <c r="B32" s="218"/>
      <c r="C32" s="218"/>
      <c r="D32" s="218"/>
      <c r="E32" s="218"/>
      <c r="F32" s="218"/>
      <c r="G32" s="218"/>
      <c r="H32" s="219"/>
    </row>
    <row r="34" spans="1:8" x14ac:dyDescent="0.25">
      <c r="A34" s="3"/>
      <c r="B34" s="3" t="s">
        <v>676</v>
      </c>
      <c r="C34" s="3" t="s">
        <v>684</v>
      </c>
      <c r="D34" t="s">
        <v>685</v>
      </c>
    </row>
    <row r="35" spans="1:8" x14ac:dyDescent="0.25">
      <c r="C35" s="192" t="s">
        <v>686</v>
      </c>
      <c r="D35" t="s">
        <v>687</v>
      </c>
    </row>
    <row r="36" spans="1:8" x14ac:dyDescent="0.25">
      <c r="C36" s="3" t="s">
        <v>688</v>
      </c>
      <c r="D36" t="s">
        <v>689</v>
      </c>
    </row>
    <row r="37" spans="1:8" x14ac:dyDescent="0.25">
      <c r="C37" s="3" t="s">
        <v>690</v>
      </c>
      <c r="D37" t="s">
        <v>691</v>
      </c>
    </row>
    <row r="38" spans="1:8" x14ac:dyDescent="0.25">
      <c r="C38" s="3" t="s">
        <v>692</v>
      </c>
      <c r="D38" t="s">
        <v>693</v>
      </c>
    </row>
    <row r="40" spans="1:8" x14ac:dyDescent="0.25">
      <c r="A40" s="7" t="s">
        <v>581</v>
      </c>
    </row>
    <row r="42" spans="1:8" ht="90" customHeight="1" x14ac:dyDescent="0.25">
      <c r="A42" s="217" t="s">
        <v>694</v>
      </c>
      <c r="B42" s="218"/>
      <c r="C42" s="218"/>
      <c r="D42" s="218"/>
      <c r="E42" s="218"/>
      <c r="F42" s="218"/>
      <c r="G42" s="218"/>
      <c r="H42" s="219"/>
    </row>
    <row r="44" spans="1:8" x14ac:dyDescent="0.25">
      <c r="A44" s="3"/>
      <c r="B44" s="3" t="s">
        <v>676</v>
      </c>
    </row>
    <row r="45" spans="1:8" x14ac:dyDescent="0.25">
      <c r="C45" s="3" t="s">
        <v>695</v>
      </c>
      <c r="D45" t="s">
        <v>696</v>
      </c>
    </row>
    <row r="46" spans="1:8" x14ac:dyDescent="0.25">
      <c r="C46" s="3" t="s">
        <v>697</v>
      </c>
      <c r="D46" t="s">
        <v>698</v>
      </c>
    </row>
    <row r="47" spans="1:8" x14ac:dyDescent="0.25">
      <c r="C47" s="3" t="s">
        <v>699</v>
      </c>
      <c r="D47" t="s">
        <v>700</v>
      </c>
    </row>
    <row r="48" spans="1:8" x14ac:dyDescent="0.25">
      <c r="C48" s="3" t="s">
        <v>701</v>
      </c>
      <c r="D48" t="s">
        <v>702</v>
      </c>
    </row>
    <row r="49" spans="1:8" x14ac:dyDescent="0.25">
      <c r="C49" s="3" t="s">
        <v>703</v>
      </c>
      <c r="D49" t="s">
        <v>704</v>
      </c>
    </row>
    <row r="51" spans="1:8" x14ac:dyDescent="0.25">
      <c r="A51" s="7" t="s">
        <v>539</v>
      </c>
    </row>
    <row r="53" spans="1:8" ht="90" customHeight="1" x14ac:dyDescent="0.25">
      <c r="A53" s="217" t="s">
        <v>705</v>
      </c>
      <c r="B53" s="218"/>
      <c r="C53" s="218"/>
      <c r="D53" s="218"/>
      <c r="E53" s="218"/>
      <c r="F53" s="218"/>
      <c r="G53" s="218"/>
      <c r="H53" s="219"/>
    </row>
    <row r="55" spans="1:8" x14ac:dyDescent="0.25">
      <c r="A55" s="3"/>
      <c r="B55" s="3" t="s">
        <v>676</v>
      </c>
      <c r="C55" s="3" t="s">
        <v>706</v>
      </c>
      <c r="D55" t="s">
        <v>707</v>
      </c>
    </row>
    <row r="56" spans="1:8" x14ac:dyDescent="0.25">
      <c r="C56" s="3" t="s">
        <v>708</v>
      </c>
      <c r="D56" t="s">
        <v>709</v>
      </c>
    </row>
    <row r="57" spans="1:8" x14ac:dyDescent="0.25">
      <c r="C57" s="3" t="s">
        <v>710</v>
      </c>
      <c r="D57" t="s">
        <v>711</v>
      </c>
    </row>
    <row r="58" spans="1:8" x14ac:dyDescent="0.25">
      <c r="C58" s="3" t="s">
        <v>712</v>
      </c>
      <c r="D58" t="s">
        <v>713</v>
      </c>
    </row>
    <row r="60" spans="1:8" x14ac:dyDescent="0.25">
      <c r="A60" s="7" t="s">
        <v>582</v>
      </c>
    </row>
    <row r="62" spans="1:8" ht="90" customHeight="1" x14ac:dyDescent="0.25">
      <c r="A62" s="217" t="s">
        <v>714</v>
      </c>
      <c r="B62" s="218"/>
      <c r="C62" s="218"/>
      <c r="D62" s="218"/>
      <c r="E62" s="218"/>
      <c r="F62" s="218"/>
      <c r="G62" s="218"/>
      <c r="H62" s="219"/>
    </row>
    <row r="64" spans="1:8" x14ac:dyDescent="0.25">
      <c r="A64" s="3"/>
      <c r="B64" s="3" t="s">
        <v>676</v>
      </c>
      <c r="C64" s="193" t="s">
        <v>715</v>
      </c>
      <c r="D64" t="s">
        <v>716</v>
      </c>
    </row>
    <row r="65" spans="1:8" x14ac:dyDescent="0.25">
      <c r="C65" s="3" t="s">
        <v>717</v>
      </c>
      <c r="D65" t="s">
        <v>718</v>
      </c>
    </row>
    <row r="66" spans="1:8" x14ac:dyDescent="0.25">
      <c r="C66" s="3" t="s">
        <v>719</v>
      </c>
      <c r="D66" t="s">
        <v>720</v>
      </c>
    </row>
    <row r="67" spans="1:8" x14ac:dyDescent="0.25">
      <c r="C67" s="3" t="s">
        <v>721</v>
      </c>
      <c r="D67" t="s">
        <v>722</v>
      </c>
    </row>
    <row r="69" spans="1:8" x14ac:dyDescent="0.25">
      <c r="A69" s="7" t="s">
        <v>553</v>
      </c>
    </row>
    <row r="71" spans="1:8" ht="90" customHeight="1" x14ac:dyDescent="0.25">
      <c r="A71" s="217" t="s">
        <v>723</v>
      </c>
      <c r="B71" s="218"/>
      <c r="C71" s="218"/>
      <c r="D71" s="218"/>
      <c r="E71" s="218"/>
      <c r="F71" s="218"/>
      <c r="G71" s="218"/>
      <c r="H71" s="219"/>
    </row>
    <row r="73" spans="1:8" x14ac:dyDescent="0.25">
      <c r="A73" s="3"/>
      <c r="B73" s="3" t="s">
        <v>676</v>
      </c>
      <c r="C73" s="3" t="s">
        <v>724</v>
      </c>
      <c r="D73" t="s">
        <v>725</v>
      </c>
    </row>
    <row r="74" spans="1:8" x14ac:dyDescent="0.25">
      <c r="C74" s="3" t="s">
        <v>726</v>
      </c>
      <c r="D74" t="s">
        <v>727</v>
      </c>
    </row>
    <row r="75" spans="1:8" x14ac:dyDescent="0.25">
      <c r="C75" s="3" t="s">
        <v>728</v>
      </c>
      <c r="D75" t="s">
        <v>729</v>
      </c>
    </row>
    <row r="76" spans="1:8" x14ac:dyDescent="0.25">
      <c r="C76" s="3" t="s">
        <v>730</v>
      </c>
      <c r="D76" t="s">
        <v>731</v>
      </c>
    </row>
    <row r="77" spans="1:8" x14ac:dyDescent="0.25">
      <c r="C77" s="3" t="s">
        <v>732</v>
      </c>
      <c r="D77" t="s">
        <v>733</v>
      </c>
    </row>
    <row r="79" spans="1:8" x14ac:dyDescent="0.25">
      <c r="A79" s="7" t="s">
        <v>734</v>
      </c>
    </row>
    <row r="81" spans="1:8" ht="90" customHeight="1" x14ac:dyDescent="0.25">
      <c r="A81" s="217" t="s">
        <v>735</v>
      </c>
      <c r="B81" s="218"/>
      <c r="C81" s="218"/>
      <c r="D81" s="218"/>
      <c r="E81" s="218"/>
      <c r="F81" s="218"/>
      <c r="G81" s="218"/>
      <c r="H81" s="219"/>
    </row>
    <row r="83" spans="1:8" x14ac:dyDescent="0.25">
      <c r="A83" s="3"/>
      <c r="B83" s="3" t="s">
        <v>676</v>
      </c>
      <c r="C83" s="3" t="s">
        <v>736</v>
      </c>
      <c r="D83" t="s">
        <v>737</v>
      </c>
    </row>
    <row r="84" spans="1:8" x14ac:dyDescent="0.25">
      <c r="C84" s="3" t="s">
        <v>738</v>
      </c>
      <c r="D84" t="s">
        <v>739</v>
      </c>
    </row>
    <row r="85" spans="1:8" x14ac:dyDescent="0.25">
      <c r="C85" s="3" t="s">
        <v>740</v>
      </c>
      <c r="D85" t="s">
        <v>741</v>
      </c>
    </row>
    <row r="87" spans="1:8" x14ac:dyDescent="0.25">
      <c r="A87" s="7" t="s">
        <v>561</v>
      </c>
    </row>
    <row r="89" spans="1:8" ht="90" customHeight="1" x14ac:dyDescent="0.25">
      <c r="A89" s="217" t="s">
        <v>742</v>
      </c>
      <c r="B89" s="218"/>
      <c r="C89" s="218"/>
      <c r="D89" s="218"/>
      <c r="E89" s="218"/>
      <c r="F89" s="218"/>
      <c r="G89" s="218"/>
      <c r="H89" s="219"/>
    </row>
    <row r="91" spans="1:8" x14ac:dyDescent="0.25">
      <c r="A91" s="3"/>
      <c r="B91" s="3" t="s">
        <v>676</v>
      </c>
      <c r="C91" s="3" t="s">
        <v>743</v>
      </c>
      <c r="D91" t="s">
        <v>741</v>
      </c>
    </row>
    <row r="92" spans="1:8" x14ac:dyDescent="0.25">
      <c r="C92" s="3" t="s">
        <v>744</v>
      </c>
      <c r="D92" t="s">
        <v>739</v>
      </c>
    </row>
    <row r="93" spans="1:8" x14ac:dyDescent="0.25">
      <c r="C93" s="3" t="s">
        <v>745</v>
      </c>
      <c r="D93" t="s">
        <v>746</v>
      </c>
    </row>
    <row r="94" spans="1:8" x14ac:dyDescent="0.25">
      <c r="C94" s="3" t="s">
        <v>747</v>
      </c>
      <c r="D94" t="s">
        <v>748</v>
      </c>
    </row>
    <row r="96" spans="1:8" x14ac:dyDescent="0.25">
      <c r="A96" s="7" t="s">
        <v>749</v>
      </c>
    </row>
    <row r="98" spans="1:8" ht="90" customHeight="1" x14ac:dyDescent="0.25">
      <c r="A98" s="217" t="s">
        <v>750</v>
      </c>
      <c r="B98" s="218"/>
      <c r="C98" s="218"/>
      <c r="D98" s="218"/>
      <c r="E98" s="218"/>
      <c r="F98" s="218"/>
      <c r="G98" s="218"/>
      <c r="H98" s="219"/>
    </row>
    <row r="100" spans="1:8" x14ac:dyDescent="0.25">
      <c r="A100" s="3"/>
      <c r="B100" s="3" t="s">
        <v>676</v>
      </c>
      <c r="C100" s="3" t="s">
        <v>751</v>
      </c>
      <c r="D100" t="s">
        <v>752</v>
      </c>
    </row>
    <row r="101" spans="1:8" x14ac:dyDescent="0.25">
      <c r="C101" s="3" t="s">
        <v>753</v>
      </c>
      <c r="D101" t="s">
        <v>700</v>
      </c>
    </row>
    <row r="102" spans="1:8" x14ac:dyDescent="0.25">
      <c r="C102" s="3" t="s">
        <v>754</v>
      </c>
      <c r="D102" t="s">
        <v>741</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BA4" activePane="bottomRight" state="frozen"/>
      <selection pane="topRight" activeCell="E1" sqref="E1"/>
      <selection pane="bottomLeft" activeCell="A4" sqref="A4"/>
      <selection pane="bottomRight" activeCell="BC15" sqref="BC1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5">
        <v>20</v>
      </c>
      <c r="D8" s="135"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587</v>
      </c>
      <c r="E14" s="4">
        <v>2032602.43</v>
      </c>
      <c r="F14" s="4">
        <v>259669.26</v>
      </c>
      <c r="G14" s="4">
        <v>306794.81</v>
      </c>
      <c r="H14" s="4">
        <v>131830.07</v>
      </c>
      <c r="I14" s="4">
        <v>4873264</v>
      </c>
      <c r="J14" s="4">
        <v>1471739.28</v>
      </c>
      <c r="K14" s="4">
        <v>2812814.04</v>
      </c>
      <c r="L14" s="4">
        <v>3367435.7</v>
      </c>
      <c r="M14" s="4">
        <v>988470.76</v>
      </c>
      <c r="N14" s="4">
        <v>0</v>
      </c>
      <c r="O14" s="154">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5">
        <v>30</v>
      </c>
      <c r="D17" s="135"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588</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197032</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197032</v>
      </c>
      <c r="BG33" s="4">
        <f t="shared" si="5"/>
        <v>197032</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6">
        <v>4</v>
      </c>
      <c r="B36" s="136"/>
      <c r="C36" s="136"/>
      <c r="D36" s="136" t="s">
        <v>589</v>
      </c>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590</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592</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8">
        <v>5</v>
      </c>
      <c r="B57" s="138"/>
      <c r="C57" s="138"/>
      <c r="D57" s="138" t="s">
        <v>302</v>
      </c>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row>
    <row r="58" spans="1:61" x14ac:dyDescent="0.25">
      <c r="C58">
        <v>690</v>
      </c>
      <c r="D58" t="s">
        <v>649</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40">
        <v>6</v>
      </c>
      <c r="B60" s="140"/>
      <c r="C60" s="140"/>
      <c r="D60" s="140" t="s">
        <v>303</v>
      </c>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row>
    <row r="61" spans="1:61" x14ac:dyDescent="0.25">
      <c r="C61">
        <v>590</v>
      </c>
      <c r="D61" t="s">
        <v>648</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50"/>
  <sheetViews>
    <sheetView workbookViewId="0">
      <pane xSplit="4" ySplit="11" topLeftCell="AH39" activePane="bottomRight" state="frozen"/>
      <selection pane="topRight" activeCell="E1" sqref="E1"/>
      <selection pane="bottomLeft" activeCell="A12" sqref="A12"/>
      <selection pane="bottomRight" activeCell="AH48" sqref="AH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506</v>
      </c>
      <c r="B10" s="110"/>
      <c r="C10" s="65" t="s">
        <v>507</v>
      </c>
      <c r="D10" s="65" t="s">
        <v>508</v>
      </c>
      <c r="E10" s="57">
        <f>'4.1 Comptes 2020 natures'!E2</f>
        <v>923</v>
      </c>
      <c r="F10" s="57">
        <f>'4.1 Comptes 2020 natures'!F2</f>
        <v>270</v>
      </c>
      <c r="G10" s="57">
        <f>'4.1 Comptes 2020 natures'!G2</f>
        <v>485</v>
      </c>
      <c r="H10" s="57">
        <f>'4.1 Comptes 2020 natures'!H2</f>
        <v>446</v>
      </c>
      <c r="I10" s="57">
        <f>'4.1 Comptes 2020 natures'!I2</f>
        <v>3631</v>
      </c>
      <c r="J10" s="57">
        <f>'4.1 Comptes 2020 natures'!J2</f>
        <v>3313</v>
      </c>
      <c r="K10" s="57">
        <f>'4.1 Comptes 2020 natures'!K2</f>
        <v>2644</v>
      </c>
      <c r="L10" s="57">
        <f>'4.1 Comptes 2020 natures'!L2</f>
        <v>12618</v>
      </c>
      <c r="M10" s="57">
        <f>'4.1 Comptes 2020 natures'!M2</f>
        <v>1371</v>
      </c>
      <c r="N10" s="57">
        <f>'4.1 Comptes 2020 natures'!N2</f>
        <v>118</v>
      </c>
      <c r="O10" s="57">
        <f>'4.1 Comptes 2020 natures'!O2</f>
        <v>7167</v>
      </c>
      <c r="P10" s="57">
        <f>'4.1 Comptes 2020 natures'!P2</f>
        <v>528</v>
      </c>
      <c r="Q10" s="57">
        <f>'4.1 Comptes 2020 natures'!Q2</f>
        <v>108</v>
      </c>
      <c r="R10" s="57">
        <f>'4.1 Comptes 2020 natures'!R2</f>
        <v>415</v>
      </c>
      <c r="S10" s="57">
        <f>'4.1 Comptes 2020 natures'!S2</f>
        <v>349</v>
      </c>
      <c r="T10" s="57">
        <f>'4.1 Comptes 2020 natures'!T2</f>
        <v>687</v>
      </c>
      <c r="U10" s="57">
        <f>'4.1 Comptes 2020 natures'!U2</f>
        <v>255</v>
      </c>
      <c r="V10" s="57">
        <f>'4.1 Comptes 2020 natures'!V2</f>
        <v>436</v>
      </c>
      <c r="W10" s="57">
        <f>'4.1 Comptes 2020 natures'!W2</f>
        <v>3190</v>
      </c>
      <c r="X10" s="57">
        <f>'4.1 Comptes 2020 natures'!X2</f>
        <v>324</v>
      </c>
      <c r="Y10" s="57">
        <f>'4.1 Comptes 2020 natures'!Y2</f>
        <v>1246</v>
      </c>
      <c r="Z10" s="57">
        <f>'4.1 Comptes 2020 natures'!Z2</f>
        <v>1528</v>
      </c>
      <c r="AA10" s="57">
        <f>'4.1 Comptes 2020 natures'!AA2</f>
        <v>96</v>
      </c>
      <c r="AB10" s="57">
        <f>'4.1 Comptes 2020 natures'!AB2</f>
        <v>149</v>
      </c>
      <c r="AC10" s="57">
        <f>'4.1 Comptes 2020 natures'!AC2</f>
        <v>516</v>
      </c>
      <c r="AD10" s="57">
        <f>'4.1 Comptes 2020 natures'!AD2</f>
        <v>671</v>
      </c>
      <c r="AE10" s="57">
        <f>'4.1 Comptes 2020 natures'!AE2</f>
        <v>572</v>
      </c>
      <c r="AF10" s="57">
        <f>'4.1 Comptes 2020 natures'!AF2</f>
        <v>490</v>
      </c>
      <c r="AG10" s="57">
        <f>'4.1 Comptes 2020 natures'!AG2</f>
        <v>1914</v>
      </c>
      <c r="AH10" s="57">
        <f>'4.1 Comptes 2020 natures'!AH2</f>
        <v>2615</v>
      </c>
      <c r="AI10" s="57">
        <f>'4.1 Comptes 2020 natures'!AI2</f>
        <v>227</v>
      </c>
      <c r="AJ10" s="57">
        <f>'4.1 Comptes 2020 natures'!AJ2</f>
        <v>131</v>
      </c>
      <c r="AK10" s="57">
        <f>'4.1 Comptes 2020 natures'!AK2</f>
        <v>1895</v>
      </c>
      <c r="AL10" s="57">
        <f>'4.1 Comptes 2020 natures'!AL2</f>
        <v>1135</v>
      </c>
      <c r="AM10" s="57">
        <f>'4.1 Comptes 2020 natures'!AM2</f>
        <v>1241</v>
      </c>
      <c r="AN10" s="57">
        <f>'4.1 Comptes 2020 natures'!AN2</f>
        <v>119</v>
      </c>
      <c r="AO10" s="57">
        <f>'4.1 Comptes 2020 natures'!AO2</f>
        <v>1195</v>
      </c>
      <c r="AP10" s="57">
        <f>'4.1 Comptes 2020 natures'!AP2</f>
        <v>663</v>
      </c>
      <c r="AQ10" s="57">
        <f>'4.1 Comptes 2020 natures'!AQ2</f>
        <v>645</v>
      </c>
      <c r="AR10" s="57">
        <f>'4.1 Comptes 2020 natures'!AR2</f>
        <v>1263</v>
      </c>
      <c r="AS10" s="57">
        <f>'4.1 Comptes 2020 natures'!AS2</f>
        <v>740</v>
      </c>
      <c r="AT10" s="57">
        <f>'4.1 Comptes 2020 natures'!AT2</f>
        <v>1028</v>
      </c>
      <c r="AU10" s="57">
        <f>'4.1 Comptes 2020 natures'!AU2</f>
        <v>314</v>
      </c>
      <c r="AV10" s="57">
        <f>'4.1 Comptes 2020 natures'!AV2</f>
        <v>2400</v>
      </c>
      <c r="AW10" s="57">
        <f>'4.1 Comptes 2020 natures'!AW2</f>
        <v>755</v>
      </c>
      <c r="AX10" s="57">
        <f>'4.1 Comptes 2020 natures'!AX2</f>
        <v>181</v>
      </c>
      <c r="AY10" s="57">
        <f>'4.1 Comptes 2020 natures'!AY2</f>
        <v>347</v>
      </c>
      <c r="AZ10" s="57">
        <f>'4.1 Comptes 2020 natures'!AZ2</f>
        <v>1690</v>
      </c>
      <c r="BA10" s="57">
        <f>'4.1 Comptes 2020 natures'!BA2</f>
        <v>387</v>
      </c>
      <c r="BB10" s="57">
        <f>'4.1 Comptes 2020 natures'!BB2</f>
        <v>1096</v>
      </c>
      <c r="BC10" s="57">
        <f>'4.1 Comptes 2020 natures'!BC2</f>
        <v>188</v>
      </c>
      <c r="BD10" s="57">
        <f>'4.1 Comptes 2020 natures'!BD2</f>
        <v>6434</v>
      </c>
      <c r="BE10" s="57">
        <f>'4.1 Comptes 2020 natures'!BE2</f>
        <v>560</v>
      </c>
      <c r="BF10" s="57">
        <f>'4.1 Comptes 2020 natures'!BG2</f>
        <v>38954</v>
      </c>
      <c r="BG10" s="57">
        <f>'4.1 Comptes 2020 natures'!BH2</f>
        <v>10479</v>
      </c>
      <c r="BH10" s="57">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11">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x14ac:dyDescent="0.25">
      <c r="B16" s="121"/>
      <c r="D16" s="4"/>
      <c r="BF16" s="4"/>
      <c r="BG16" s="4"/>
      <c r="BH16" s="4"/>
    </row>
    <row r="17" spans="1:60" x14ac:dyDescent="0.25">
      <c r="A17" s="111" t="s">
        <v>285</v>
      </c>
      <c r="B17" s="112" t="s">
        <v>231</v>
      </c>
      <c r="C17" s="111">
        <v>400</v>
      </c>
      <c r="D17" s="113">
        <f>'Base de données indicateurs1'!BF38</f>
        <v>164946900.33999997</v>
      </c>
      <c r="E17" s="4">
        <f>'Base de données indicateurs1'!E38</f>
        <v>2399050.6</v>
      </c>
      <c r="F17" s="4">
        <f>'Base de données indicateurs1'!F38</f>
        <v>537011.25</v>
      </c>
      <c r="G17" s="4">
        <f>'Base de données indicateurs1'!G38</f>
        <v>955512.5</v>
      </c>
      <c r="H17" s="4">
        <f>'Base de données indicateurs1'!H38</f>
        <v>877308.4</v>
      </c>
      <c r="I17" s="4">
        <f>'Base de données indicateurs1'!I38</f>
        <v>6506383</v>
      </c>
      <c r="J17" s="4">
        <f>'Base de données indicateurs1'!J38</f>
        <v>7933663.8499999996</v>
      </c>
      <c r="K17" s="4">
        <f>'Base de données indicateurs1'!K38</f>
        <v>5544167.2999999998</v>
      </c>
      <c r="L17" s="4">
        <f>'Base de données indicateurs1'!L38</f>
        <v>28553161.5</v>
      </c>
      <c r="M17" s="4">
        <f>'Base de données indicateurs1'!M38</f>
        <v>2748752.09</v>
      </c>
      <c r="N17" s="4">
        <f>'Base de données indicateurs1'!N38</f>
        <v>0</v>
      </c>
      <c r="O17" s="4">
        <f>'Base de données indicateurs1'!O38</f>
        <v>13756608</v>
      </c>
      <c r="P17" s="4">
        <f>'Base de données indicateurs1'!P38</f>
        <v>1011339.5</v>
      </c>
      <c r="Q17" s="4">
        <f>'Base de données indicateurs1'!Q38</f>
        <v>180720.2</v>
      </c>
      <c r="R17" s="4">
        <f>'Base de données indicateurs1'!R38</f>
        <v>854184.35</v>
      </c>
      <c r="S17" s="4">
        <f>'Base de données indicateurs1'!S38</f>
        <v>602762.5</v>
      </c>
      <c r="T17" s="4">
        <f>'Base de données indicateurs1'!T38</f>
        <v>1797303.6</v>
      </c>
      <c r="U17" s="4">
        <f>'Base de données indicateurs1'!U38</f>
        <v>494316.95</v>
      </c>
      <c r="V17" s="4">
        <f>'Base de données indicateurs1'!V38</f>
        <v>1157764.6499999999</v>
      </c>
      <c r="W17" s="4">
        <f>'Base de données indicateurs1'!W38</f>
        <v>6519291.7999999998</v>
      </c>
      <c r="X17" s="4">
        <f>'Base de données indicateurs1'!X38</f>
        <v>722638</v>
      </c>
      <c r="Y17" s="4">
        <f>'Base de données indicateurs1'!Y38</f>
        <v>3318239.37</v>
      </c>
      <c r="Z17" s="4">
        <f>'Base de données indicateurs1'!Z38</f>
        <v>2784771.7</v>
      </c>
      <c r="AA17" s="4">
        <f>'Base de données indicateurs1'!AA38</f>
        <v>166231</v>
      </c>
      <c r="AB17" s="4">
        <f>'Base de données indicateurs1'!AB38</f>
        <v>246851.8</v>
      </c>
      <c r="AC17" s="4">
        <f>'Base de données indicateurs1'!AC38</f>
        <v>1347499.1</v>
      </c>
      <c r="AD17" s="4">
        <f>'Base de données indicateurs1'!AD38</f>
        <v>1163704.6499999999</v>
      </c>
      <c r="AE17" s="4">
        <f>'Base de données indicateurs1'!AE38</f>
        <v>1089524.5</v>
      </c>
      <c r="AF17" s="4">
        <f>'Base de données indicateurs1'!AF38</f>
        <v>980100.75</v>
      </c>
      <c r="AG17" s="4">
        <f>'Base de données indicateurs1'!AG38</f>
        <v>4420675.25</v>
      </c>
      <c r="AH17" s="4">
        <f>'Base de données indicateurs1'!AH38</f>
        <v>6191256.5</v>
      </c>
      <c r="AI17" s="4">
        <f>'Base de données indicateurs1'!AI38</f>
        <v>456991</v>
      </c>
      <c r="AJ17" s="4">
        <f>'Base de données indicateurs1'!AJ38</f>
        <v>243519.25</v>
      </c>
      <c r="AK17" s="4">
        <f>'Base de données indicateurs1'!AK38</f>
        <v>4302044.3</v>
      </c>
      <c r="AL17" s="4">
        <f>'Base de données indicateurs1'!AL38</f>
        <v>1732264</v>
      </c>
      <c r="AM17" s="4">
        <f>'Base de données indicateurs1'!AM38</f>
        <v>2498137.9500000002</v>
      </c>
      <c r="AN17" s="4">
        <f>'Base de données indicateurs1'!AN38</f>
        <v>261580.65</v>
      </c>
      <c r="AO17" s="4">
        <f>'Base de données indicateurs1'!AO38</f>
        <v>3827633.75</v>
      </c>
      <c r="AP17" s="4">
        <f>'Base de données indicateurs1'!AP38</f>
        <v>1314195.3</v>
      </c>
      <c r="AQ17" s="4">
        <f>'Base de données indicateurs1'!AQ38</f>
        <v>1533277</v>
      </c>
      <c r="AR17" s="4">
        <f>'Base de données indicateurs1'!AR38</f>
        <v>2280940.4</v>
      </c>
      <c r="AS17" s="4">
        <f>'Base de données indicateurs1'!AS38</f>
        <v>1444177.6</v>
      </c>
      <c r="AT17" s="4">
        <f>'Base de données indicateurs1'!AT38</f>
        <v>2102457.75</v>
      </c>
      <c r="AU17" s="4">
        <f>'Base de données indicateurs1'!AU38</f>
        <v>2205801.5499999998</v>
      </c>
      <c r="AV17" s="4">
        <f>'Base de données indicateurs1'!AV38</f>
        <v>5082414.08</v>
      </c>
      <c r="AW17" s="4">
        <f>'Base de données indicateurs1'!AW38</f>
        <v>1664323.5</v>
      </c>
      <c r="AX17" s="4">
        <f>'Base de données indicateurs1'!AX38</f>
        <v>335760.2</v>
      </c>
      <c r="AY17" s="4">
        <f>'Base de données indicateurs1'!AY38</f>
        <v>756659.25</v>
      </c>
      <c r="AZ17" s="4">
        <f>'Base de données indicateurs1'!AZ38</f>
        <v>4231081.0999999996</v>
      </c>
      <c r="BA17" s="4">
        <f>'Base de données indicateurs1'!BA38</f>
        <v>807108.35</v>
      </c>
      <c r="BB17" s="4">
        <f>'Base de données indicateurs1'!BB38</f>
        <v>2596328.9500000002</v>
      </c>
      <c r="BC17" s="4">
        <f>'Base de données indicateurs1'!BC38</f>
        <v>306282.3</v>
      </c>
      <c r="BD17" s="4">
        <f>'Base de données indicateurs1'!BD38</f>
        <v>19029351.100000001</v>
      </c>
      <c r="BE17" s="4">
        <f>'Base de données indicateurs1'!BE38</f>
        <v>1073776.3500000001</v>
      </c>
      <c r="BF17" s="4">
        <f t="shared" si="0"/>
        <v>82429302.040000007</v>
      </c>
      <c r="BG17" s="4">
        <f t="shared" si="1"/>
        <v>23132002.870000001</v>
      </c>
      <c r="BH17" s="4">
        <f t="shared" si="2"/>
        <v>59385595.430000007</v>
      </c>
    </row>
    <row r="18" spans="1:60" x14ac:dyDescent="0.25">
      <c r="A18" s="114" t="s">
        <v>287</v>
      </c>
      <c r="B18" s="115" t="s">
        <v>231</v>
      </c>
      <c r="C18" s="114">
        <v>401</v>
      </c>
      <c r="D18" s="116">
        <f>'Base de données indicateurs1'!BF39</f>
        <v>27783883.75</v>
      </c>
      <c r="E18" s="4">
        <f>'Base de données indicateurs1'!E39</f>
        <v>186863.75</v>
      </c>
      <c r="F18" s="4">
        <f>'Base de données indicateurs1'!F39</f>
        <v>12530.3</v>
      </c>
      <c r="G18" s="4">
        <f>'Base de données indicateurs1'!G39</f>
        <v>72576.7</v>
      </c>
      <c r="H18" s="4">
        <f>'Base de données indicateurs1'!H39</f>
        <v>82257.149999999994</v>
      </c>
      <c r="I18" s="4">
        <f>'Base de données indicateurs1'!I39</f>
        <v>402270</v>
      </c>
      <c r="J18" s="4">
        <f>'Base de données indicateurs1'!J39</f>
        <v>637302.1</v>
      </c>
      <c r="K18" s="4">
        <f>'Base de données indicateurs1'!K39</f>
        <v>948116.15</v>
      </c>
      <c r="L18" s="4">
        <f>'Base de données indicateurs1'!L39</f>
        <v>5630325.2000000002</v>
      </c>
      <c r="M18" s="4">
        <f>'Base de données indicateurs1'!M39</f>
        <v>440551.95</v>
      </c>
      <c r="N18" s="4">
        <f>'Base de données indicateurs1'!N39</f>
        <v>0</v>
      </c>
      <c r="O18" s="4">
        <f>'Base de données indicateurs1'!O39</f>
        <v>648784.6</v>
      </c>
      <c r="P18" s="4">
        <f>'Base de données indicateurs1'!P39</f>
        <v>43209.25</v>
      </c>
      <c r="Q18" s="4">
        <f>'Base de données indicateurs1'!Q39</f>
        <v>-2994.7</v>
      </c>
      <c r="R18" s="4">
        <f>'Base de données indicateurs1'!R39</f>
        <v>11294.05</v>
      </c>
      <c r="S18" s="4">
        <f>'Base de données indicateurs1'!S39</f>
        <v>-4335.8</v>
      </c>
      <c r="T18" s="4">
        <f>'Base de données indicateurs1'!T39</f>
        <v>39931.449999999997</v>
      </c>
      <c r="U18" s="4">
        <f>'Base de données indicateurs1'!U39</f>
        <v>21951.7</v>
      </c>
      <c r="V18" s="4">
        <f>'Base de données indicateurs1'!V39</f>
        <v>91657.95</v>
      </c>
      <c r="W18" s="4">
        <f>'Base de données indicateurs1'!W39</f>
        <v>154646.65</v>
      </c>
      <c r="X18" s="4">
        <f>'Base de données indicateurs1'!X39</f>
        <v>5100</v>
      </c>
      <c r="Y18" s="4">
        <f>'Base de données indicateurs1'!Y39</f>
        <v>115383.25</v>
      </c>
      <c r="Z18" s="4">
        <f>'Base de données indicateurs1'!Z39</f>
        <v>6765508.1500000004</v>
      </c>
      <c r="AA18" s="4">
        <f>'Base de données indicateurs1'!AA39</f>
        <v>927</v>
      </c>
      <c r="AB18" s="4">
        <f>'Base de données indicateurs1'!AB39</f>
        <v>8935.7999999999993</v>
      </c>
      <c r="AC18" s="4">
        <f>'Base de données indicateurs1'!AC39</f>
        <v>-224747.75</v>
      </c>
      <c r="AD18" s="4">
        <f>'Base de données indicateurs1'!AD39</f>
        <v>70136.850000000006</v>
      </c>
      <c r="AE18" s="4">
        <f>'Base de données indicateurs1'!AE39</f>
        <v>33283.550000000003</v>
      </c>
      <c r="AF18" s="4">
        <f>'Base de données indicateurs1'!AF39</f>
        <v>728213.45</v>
      </c>
      <c r="AG18" s="4">
        <f>'Base de données indicateurs1'!AG39</f>
        <v>1712675.4</v>
      </c>
      <c r="AH18" s="4">
        <f>'Base de données indicateurs1'!AH39</f>
        <v>682151.5</v>
      </c>
      <c r="AI18" s="4">
        <f>'Base de données indicateurs1'!AI39</f>
        <v>7959</v>
      </c>
      <c r="AJ18" s="4">
        <f>'Base de données indicateurs1'!AJ39</f>
        <v>7036.8</v>
      </c>
      <c r="AK18" s="4">
        <f>'Base de données indicateurs1'!AK39</f>
        <v>543718.55000000005</v>
      </c>
      <c r="AL18" s="4">
        <f>'Base de données indicateurs1'!AL39</f>
        <v>-65142</v>
      </c>
      <c r="AM18" s="4">
        <f>'Base de données indicateurs1'!AM39</f>
        <v>44564.75</v>
      </c>
      <c r="AN18" s="4">
        <f>'Base de données indicateurs1'!AN39</f>
        <v>1227.2</v>
      </c>
      <c r="AO18" s="4">
        <f>'Base de données indicateurs1'!AO39</f>
        <v>2557137.35</v>
      </c>
      <c r="AP18" s="4">
        <f>'Base de données indicateurs1'!AP39</f>
        <v>504468</v>
      </c>
      <c r="AQ18" s="4">
        <f>'Base de données indicateurs1'!AQ39</f>
        <v>144303</v>
      </c>
      <c r="AR18" s="4">
        <f>'Base de données indicateurs1'!AR39</f>
        <v>234509.05</v>
      </c>
      <c r="AS18" s="4">
        <f>'Base de données indicateurs1'!AS39</f>
        <v>17997.349999999999</v>
      </c>
      <c r="AT18" s="4">
        <f>'Base de données indicateurs1'!AT39</f>
        <v>5799</v>
      </c>
      <c r="AU18" s="4">
        <f>'Base de données indicateurs1'!AU39</f>
        <v>-66532.05</v>
      </c>
      <c r="AV18" s="4">
        <f>'Base de données indicateurs1'!AV39</f>
        <v>121676.35</v>
      </c>
      <c r="AW18" s="4">
        <f>'Base de données indicateurs1'!AW39</f>
        <v>271631.65000000002</v>
      </c>
      <c r="AX18" s="4">
        <f>'Base de données indicateurs1'!AX39</f>
        <v>10577.2</v>
      </c>
      <c r="AY18" s="4">
        <f>'Base de données indicateurs1'!AY39</f>
        <v>20567.45</v>
      </c>
      <c r="AZ18" s="4">
        <f>'Base de données indicateurs1'!AZ39</f>
        <v>333389.45</v>
      </c>
      <c r="BA18" s="4">
        <f>'Base de données indicateurs1'!BA39</f>
        <v>13071.35</v>
      </c>
      <c r="BB18" s="4">
        <f>'Base de données indicateurs1'!BB39</f>
        <v>590684</v>
      </c>
      <c r="BC18" s="4">
        <f>'Base de données indicateurs1'!BC39</f>
        <v>1833.95</v>
      </c>
      <c r="BD18" s="4">
        <f>'Base de données indicateurs1'!BD39</f>
        <v>3114215.25</v>
      </c>
      <c r="BE18" s="4">
        <f>'Base de données indicateurs1'!BE39</f>
        <v>54685.45</v>
      </c>
      <c r="BF18" s="4">
        <f t="shared" si="0"/>
        <v>9416938.4499999974</v>
      </c>
      <c r="BG18" s="4">
        <f t="shared" si="1"/>
        <v>9912563</v>
      </c>
      <c r="BH18" s="4">
        <f t="shared" si="2"/>
        <v>8454382.3000000007</v>
      </c>
    </row>
    <row r="19" spans="1:60" x14ac:dyDescent="0.25">
      <c r="A19" s="114" t="s">
        <v>510</v>
      </c>
      <c r="B19" s="115" t="s">
        <v>511</v>
      </c>
      <c r="C19" s="122" t="s">
        <v>512</v>
      </c>
      <c r="D19" s="116">
        <f>'Base de données indicateurs1'!BF48+'Base de données indicateurs1'!BF26</f>
        <v>17377288</v>
      </c>
      <c r="E19" s="4">
        <f>'Base de données indicateurs1'!E48-'Base de données indicateurs1'!E26</f>
        <v>93242</v>
      </c>
      <c r="F19" s="4">
        <f>'Base de données indicateurs1'!F48-'Base de données indicateurs1'!F26</f>
        <v>211892</v>
      </c>
      <c r="G19" s="4">
        <f>'Base de données indicateurs1'!G48-'Base de données indicateurs1'!G26</f>
        <v>81088</v>
      </c>
      <c r="H19" s="4">
        <f>'Base de données indicateurs1'!H48-'Base de données indicateurs1'!H26</f>
        <v>159252</v>
      </c>
      <c r="I19" s="4">
        <f>'Base de données indicateurs1'!I48-'Base de données indicateurs1'!I26</f>
        <v>1174020</v>
      </c>
      <c r="J19" s="4">
        <f>'Base de données indicateurs1'!J48-'Base de données indicateurs1'!J26</f>
        <v>397118</v>
      </c>
      <c r="K19" s="4">
        <f>'Base de données indicateurs1'!K48-'Base de données indicateurs1'!K26</f>
        <v>-182436</v>
      </c>
      <c r="L19" s="4">
        <f>'Base de données indicateurs1'!L48-'Base de données indicateurs1'!L26</f>
        <v>-901898</v>
      </c>
      <c r="M19" s="4">
        <f>'Base de données indicateurs1'!M48-'Base de données indicateurs1'!M26</f>
        <v>0</v>
      </c>
      <c r="N19" s="4">
        <f>'Base de données indicateurs1'!N48-'Base de données indicateurs1'!N26</f>
        <v>0</v>
      </c>
      <c r="O19" s="4">
        <f>'Base de données indicateurs1'!O48-'Base de données indicateurs1'!O26</f>
        <v>1414183</v>
      </c>
      <c r="P19" s="4">
        <f>'Base de données indicateurs1'!P48-'Base de données indicateurs1'!P26</f>
        <v>283212</v>
      </c>
      <c r="Q19" s="4">
        <f>'Base de données indicateurs1'!Q48-'Base de données indicateurs1'!Q26</f>
        <v>28845</v>
      </c>
      <c r="R19" s="4">
        <f>'Base de données indicateurs1'!R48-'Base de données indicateurs1'!R26</f>
        <v>157798</v>
      </c>
      <c r="S19" s="4">
        <f>'Base de données indicateurs1'!S48-'Base de données indicateurs1'!S26</f>
        <v>175314</v>
      </c>
      <c r="T19" s="4">
        <f>'Base de données indicateurs1'!T48-'Base de données indicateurs1'!T26</f>
        <v>-41206</v>
      </c>
      <c r="U19" s="4">
        <f>'Base de données indicateurs1'!U48-'Base de données indicateurs1'!U26</f>
        <v>127902</v>
      </c>
      <c r="V19" s="4">
        <f>'Base de données indicateurs1'!V48-'Base de données indicateurs1'!V26</f>
        <v>0</v>
      </c>
      <c r="W19" s="4">
        <f>'Base de données indicateurs1'!W48-'Base de données indicateurs1'!W26</f>
        <v>1341516</v>
      </c>
      <c r="X19" s="4">
        <f>'Base de données indicateurs1'!X48-'Base de données indicateurs1'!X26</f>
        <v>31284</v>
      </c>
      <c r="Y19" s="4">
        <f>'Base de données indicateurs1'!Y48-'Base de données indicateurs1'!Y26</f>
        <v>74686</v>
      </c>
      <c r="Z19" s="4">
        <f>'Base de données indicateurs1'!Z48-'Base de données indicateurs1'!Z26</f>
        <v>-2509477</v>
      </c>
      <c r="AA19" s="4">
        <f>'Base de données indicateurs1'!AA48-'Base de données indicateurs1'!AA26</f>
        <v>83038</v>
      </c>
      <c r="AB19" s="4">
        <f>'Base de données indicateurs1'!AB48-'Base de données indicateurs1'!AB26</f>
        <v>61512</v>
      </c>
      <c r="AC19" s="4">
        <f>'Base de données indicateurs1'!AC48-'Base de données indicateurs1'!AC26</f>
        <v>-31717</v>
      </c>
      <c r="AD19" s="4">
        <f>'Base de données indicateurs1'!AD48-'Base de données indicateurs1'!AD26</f>
        <v>188290</v>
      </c>
      <c r="AE19" s="4">
        <f>'Base de données indicateurs1'!AE48-'Base de données indicateurs1'!AE26</f>
        <v>189290</v>
      </c>
      <c r="AF19" s="4">
        <f>'Base de données indicateurs1'!AF48-'Base de données indicateurs1'!AF26</f>
        <v>28448</v>
      </c>
      <c r="AG19" s="4">
        <f>'Base de données indicateurs1'!AG48-'Base de données indicateurs1'!AG26</f>
        <v>-375788</v>
      </c>
      <c r="AH19" s="4">
        <f>'Base de données indicateurs1'!AH48-'Base de données indicateurs1'!AH26</f>
        <v>96532</v>
      </c>
      <c r="AI19" s="4">
        <f>'Base de données indicateurs1'!AI48-'Base de données indicateurs1'!AI26</f>
        <v>218340</v>
      </c>
      <c r="AJ19" s="4">
        <f>'Base de données indicateurs1'!AJ48-'Base de données indicateurs1'!AJ26</f>
        <v>52532</v>
      </c>
      <c r="AK19" s="4">
        <f>'Base de données indicateurs1'!AK48-'Base de données indicateurs1'!AK26</f>
        <v>218212</v>
      </c>
      <c r="AL19" s="4">
        <f>'Base de données indicateurs1'!AL48-'Base de données indicateurs1'!AL26</f>
        <v>662458</v>
      </c>
      <c r="AM19" s="4">
        <f>'Base de données indicateurs1'!AM48-'Base de données indicateurs1'!AM26</f>
        <v>482860</v>
      </c>
      <c r="AN19" s="4">
        <f>'Base de données indicateurs1'!AN48-'Base de données indicateurs1'!AN26</f>
        <v>66682</v>
      </c>
      <c r="AO19" s="4">
        <f>'Base de données indicateurs1'!AO48-'Base de données indicateurs1'!AO26</f>
        <v>-1752363</v>
      </c>
      <c r="AP19" s="4">
        <f>'Base de données indicateurs1'!AP48-'Base de données indicateurs1'!AP26</f>
        <v>-5844</v>
      </c>
      <c r="AQ19" s="4">
        <f>'Base de données indicateurs1'!AQ48-'Base de données indicateurs1'!AQ26</f>
        <v>68586</v>
      </c>
      <c r="AR19" s="4">
        <f>'Base de données indicateurs1'!AR48-'Base de données indicateurs1'!AR26</f>
        <v>684808</v>
      </c>
      <c r="AS19" s="4">
        <f>'Base de données indicateurs1'!AS48-'Base de données indicateurs1'!AS26</f>
        <v>192432</v>
      </c>
      <c r="AT19" s="4">
        <f>'Base de données indicateurs1'!AT48-'Base de données indicateurs1'!AT26</f>
        <v>249338</v>
      </c>
      <c r="AU19" s="4">
        <f>'Base de données indicateurs1'!AU48-'Base de données indicateurs1'!AU26</f>
        <v>-115158</v>
      </c>
      <c r="AV19" s="4">
        <f>'Base de données indicateurs1'!AV48-'Base de données indicateurs1'!AV26</f>
        <v>-79015</v>
      </c>
      <c r="AW19" s="4">
        <f>'Base de données indicateurs1'!AW48-'Base de données indicateurs1'!AW26</f>
        <v>0</v>
      </c>
      <c r="AX19" s="4">
        <f>'Base de données indicateurs1'!AX48-'Base de données indicateurs1'!AX26</f>
        <v>140996</v>
      </c>
      <c r="AY19" s="4">
        <f>'Base de données indicateurs1'!AY48-'Base de données indicateurs1'!AY26</f>
        <v>276102</v>
      </c>
      <c r="AZ19" s="4">
        <f>'Base de données indicateurs1'!AZ48-'Base de données indicateurs1'!AZ26</f>
        <v>408224</v>
      </c>
      <c r="BA19" s="4">
        <f>'Base de données indicateurs1'!BA48-'Base de données indicateurs1'!BA26</f>
        <v>295366</v>
      </c>
      <c r="BB19" s="4">
        <f>'Base de données indicateurs1'!BB48-'Base de données indicateurs1'!BB26</f>
        <v>-52605</v>
      </c>
      <c r="BC19" s="4">
        <f>'Base de données indicateurs1'!BC48-'Base de données indicateurs1'!BC26</f>
        <v>92938</v>
      </c>
      <c r="BD19" s="4">
        <f>'Base de données indicateurs1'!BD48-'Base de données indicateurs1'!BD26</f>
        <v>-272347</v>
      </c>
      <c r="BE19" s="4">
        <f>'Base de données indicateurs1'!BE48-'Base de données indicateurs1'!BE26</f>
        <v>182616</v>
      </c>
      <c r="BF19" s="4">
        <f t="shared" si="0"/>
        <v>4519842</v>
      </c>
      <c r="BG19" s="4">
        <f t="shared" si="1"/>
        <v>-1893030</v>
      </c>
      <c r="BH19" s="4">
        <f t="shared" si="2"/>
        <v>1744286</v>
      </c>
    </row>
    <row r="20" spans="1:60" x14ac:dyDescent="0.25">
      <c r="A20" s="114" t="s">
        <v>513</v>
      </c>
      <c r="B20" s="115" t="s">
        <v>231</v>
      </c>
      <c r="C20" s="114">
        <v>46228</v>
      </c>
      <c r="D20" s="116">
        <f>'Base de données indicateurs1'!BF49</f>
        <v>1298912.3500000001</v>
      </c>
      <c r="E20" s="4">
        <f>'Base de données indicateurs1'!E49</f>
        <v>0</v>
      </c>
      <c r="F20" s="4">
        <f>'Base de données indicateurs1'!F49</f>
        <v>0</v>
      </c>
      <c r="G20" s="4">
        <f>'Base de données indicateurs1'!G49</f>
        <v>0</v>
      </c>
      <c r="H20" s="4">
        <f>'Base de données indicateurs1'!H49</f>
        <v>0</v>
      </c>
      <c r="I20" s="4">
        <f>'Base de données indicateurs1'!I49</f>
        <v>0</v>
      </c>
      <c r="J20" s="4">
        <f>'Base de données indicateurs1'!J49</f>
        <v>0</v>
      </c>
      <c r="K20" s="4">
        <f>'Base de données indicateurs1'!K49</f>
        <v>0</v>
      </c>
      <c r="L20" s="4">
        <f>'Base de données indicateurs1'!L49</f>
        <v>962414.35</v>
      </c>
      <c r="M20" s="4">
        <f>'Base de données indicateurs1'!M49</f>
        <v>0</v>
      </c>
      <c r="N20" s="4">
        <f>'Base de données indicateurs1'!N49</f>
        <v>0</v>
      </c>
      <c r="O20" s="4">
        <f>'Base de données indicateurs1'!O49</f>
        <v>0</v>
      </c>
      <c r="P20" s="4">
        <f>'Base de données indicateurs1'!P49</f>
        <v>0</v>
      </c>
      <c r="Q20" s="4">
        <f>'Base de données indicateurs1'!Q49</f>
        <v>0</v>
      </c>
      <c r="R20" s="4">
        <f>'Base de données indicateurs1'!R49</f>
        <v>0</v>
      </c>
      <c r="S20" s="4">
        <f>'Base de données indicateurs1'!S49</f>
        <v>0</v>
      </c>
      <c r="T20" s="4">
        <f>'Base de données indicateurs1'!T49</f>
        <v>0</v>
      </c>
      <c r="U20" s="4">
        <f>'Base de données indicateurs1'!U49</f>
        <v>4300</v>
      </c>
      <c r="V20" s="4">
        <f>'Base de données indicateurs1'!V49</f>
        <v>0</v>
      </c>
      <c r="W20" s="4">
        <f>'Base de données indicateurs1'!W49</f>
        <v>0</v>
      </c>
      <c r="X20" s="4">
        <f>'Base de données indicateurs1'!X49</f>
        <v>0</v>
      </c>
      <c r="Y20" s="4">
        <f>'Base de données indicateurs1'!Y49</f>
        <v>0</v>
      </c>
      <c r="Z20" s="4">
        <f>'Base de données indicateurs1'!Z49</f>
        <v>0</v>
      </c>
      <c r="AA20" s="4">
        <f>'Base de données indicateurs1'!AA49</f>
        <v>0</v>
      </c>
      <c r="AB20" s="4">
        <f>'Base de données indicateurs1'!AB49</f>
        <v>0</v>
      </c>
      <c r="AC20" s="4">
        <f>'Base de données indicateurs1'!AC49</f>
        <v>0</v>
      </c>
      <c r="AD20" s="4">
        <f>'Base de données indicateurs1'!AD49</f>
        <v>0</v>
      </c>
      <c r="AE20" s="4">
        <f>'Base de données indicateurs1'!AE49</f>
        <v>0</v>
      </c>
      <c r="AF20" s="4">
        <f>'Base de données indicateurs1'!AF49</f>
        <v>0</v>
      </c>
      <c r="AG20" s="4">
        <f>'Base de données indicateurs1'!AG49</f>
        <v>0</v>
      </c>
      <c r="AH20" s="4">
        <f>'Base de données indicateurs1'!AH49</f>
        <v>0</v>
      </c>
      <c r="AI20" s="4">
        <f>'Base de données indicateurs1'!AI49</f>
        <v>0</v>
      </c>
      <c r="AJ20" s="4">
        <f>'Base de données indicateurs1'!AJ49</f>
        <v>0</v>
      </c>
      <c r="AK20" s="4">
        <f>'Base de données indicateurs1'!AK49</f>
        <v>0</v>
      </c>
      <c r="AL20" s="4">
        <f>'Base de données indicateurs1'!AL49</f>
        <v>0</v>
      </c>
      <c r="AM20" s="4">
        <f>'Base de données indicateurs1'!AM49</f>
        <v>0</v>
      </c>
      <c r="AN20" s="4">
        <f>'Base de données indicateurs1'!AN49</f>
        <v>0</v>
      </c>
      <c r="AO20" s="4">
        <f>'Base de données indicateurs1'!AO49</f>
        <v>0</v>
      </c>
      <c r="AP20" s="4">
        <f>'Base de données indicateurs1'!AP49</f>
        <v>0</v>
      </c>
      <c r="AQ20" s="4">
        <f>'Base de données indicateurs1'!AQ49</f>
        <v>0</v>
      </c>
      <c r="AR20" s="4">
        <f>'Base de données indicateurs1'!AR49</f>
        <v>0</v>
      </c>
      <c r="AS20" s="4">
        <f>'Base de données indicateurs1'!AS49</f>
        <v>0</v>
      </c>
      <c r="AT20" s="4">
        <f>'Base de données indicateurs1'!AT49</f>
        <v>0</v>
      </c>
      <c r="AU20" s="4">
        <f>'Base de données indicateurs1'!AU49</f>
        <v>0</v>
      </c>
      <c r="AV20" s="4">
        <f>'Base de données indicateurs1'!AV49</f>
        <v>0</v>
      </c>
      <c r="AW20" s="4">
        <f>'Base de données indicateurs1'!AW49</f>
        <v>0</v>
      </c>
      <c r="AX20" s="4">
        <f>'Base de données indicateurs1'!AX49</f>
        <v>0</v>
      </c>
      <c r="AY20" s="4">
        <f>'Base de données indicateurs1'!AY49</f>
        <v>0</v>
      </c>
      <c r="AZ20" s="4">
        <f>'Base de données indicateurs1'!AZ49</f>
        <v>0</v>
      </c>
      <c r="BA20" s="4">
        <f>'Base de données indicateurs1'!BA49</f>
        <v>0</v>
      </c>
      <c r="BB20" s="4">
        <f>'Base de données indicateurs1'!BB49</f>
        <v>0</v>
      </c>
      <c r="BC20" s="4">
        <f>'Base de données indicateurs1'!BC49</f>
        <v>0</v>
      </c>
      <c r="BD20" s="4">
        <f>'Base de données indicateurs1'!BD49</f>
        <v>332198</v>
      </c>
      <c r="BE20" s="4">
        <f>'Base de données indicateurs1'!BE49</f>
        <v>0</v>
      </c>
      <c r="BF20" s="4">
        <f t="shared" si="0"/>
        <v>966714.35</v>
      </c>
      <c r="BG20" s="4">
        <f t="shared" si="1"/>
        <v>0</v>
      </c>
      <c r="BH20" s="4">
        <f t="shared" si="2"/>
        <v>332198</v>
      </c>
    </row>
    <row r="21" spans="1:60" ht="15.75" thickBot="1" x14ac:dyDescent="0.3">
      <c r="A21" s="117"/>
      <c r="B21" s="118"/>
      <c r="C21" s="117"/>
      <c r="D21" s="119"/>
      <c r="BF21" s="4"/>
      <c r="BG21" s="4"/>
      <c r="BH21" s="4"/>
    </row>
    <row r="22" spans="1:60" ht="15.75" thickBot="1" x14ac:dyDescent="0.3">
      <c r="A22" s="7" t="s">
        <v>514</v>
      </c>
      <c r="B22" s="64"/>
      <c r="C22" s="7"/>
      <c r="D22" s="120">
        <f>D17+D18+D19+D20</f>
        <v>211406984.43999997</v>
      </c>
      <c r="E22" s="4">
        <f>E17+E18+E19+E20</f>
        <v>2679156.35</v>
      </c>
      <c r="F22" s="4">
        <f t="shared" ref="F22:BE22" si="4">F17+F18+F19+F20</f>
        <v>761433.55</v>
      </c>
      <c r="G22" s="4">
        <f t="shared" si="4"/>
        <v>1109177.2</v>
      </c>
      <c r="H22" s="4">
        <f t="shared" si="4"/>
        <v>1118817.55</v>
      </c>
      <c r="I22" s="4">
        <f t="shared" si="4"/>
        <v>8082673</v>
      </c>
      <c r="J22" s="4">
        <f t="shared" si="4"/>
        <v>8968083.9499999993</v>
      </c>
      <c r="K22" s="4">
        <f t="shared" si="4"/>
        <v>6309847.4500000002</v>
      </c>
      <c r="L22" s="4">
        <f t="shared" si="4"/>
        <v>34244003.050000004</v>
      </c>
      <c r="M22" s="4">
        <f t="shared" si="4"/>
        <v>3189304.04</v>
      </c>
      <c r="N22" s="4">
        <f t="shared" si="4"/>
        <v>0</v>
      </c>
      <c r="O22" s="4">
        <f t="shared" si="4"/>
        <v>15819575.6</v>
      </c>
      <c r="P22" s="4">
        <f t="shared" si="4"/>
        <v>1337760.75</v>
      </c>
      <c r="Q22" s="4">
        <f t="shared" si="4"/>
        <v>206570.5</v>
      </c>
      <c r="R22" s="4">
        <f t="shared" si="4"/>
        <v>1023276.4</v>
      </c>
      <c r="S22" s="4">
        <f t="shared" si="4"/>
        <v>773740.7</v>
      </c>
      <c r="T22" s="4">
        <f t="shared" si="4"/>
        <v>1796029.05</v>
      </c>
      <c r="U22" s="4">
        <f t="shared" si="4"/>
        <v>648470.65</v>
      </c>
      <c r="V22" s="4">
        <f t="shared" si="4"/>
        <v>1249422.5999999999</v>
      </c>
      <c r="W22" s="4">
        <f t="shared" si="4"/>
        <v>8015454.4500000002</v>
      </c>
      <c r="X22" s="4">
        <f t="shared" si="4"/>
        <v>759022</v>
      </c>
      <c r="Y22" s="4">
        <f t="shared" si="4"/>
        <v>3508308.62</v>
      </c>
      <c r="Z22" s="4">
        <f t="shared" si="4"/>
        <v>7040802.8500000015</v>
      </c>
      <c r="AA22" s="4">
        <f t="shared" si="4"/>
        <v>250196</v>
      </c>
      <c r="AB22" s="4">
        <f t="shared" si="4"/>
        <v>317299.59999999998</v>
      </c>
      <c r="AC22" s="4">
        <f t="shared" si="4"/>
        <v>1091034.3500000001</v>
      </c>
      <c r="AD22" s="4">
        <f t="shared" si="4"/>
        <v>1422131.5</v>
      </c>
      <c r="AE22" s="4">
        <f t="shared" si="4"/>
        <v>1312098.05</v>
      </c>
      <c r="AF22" s="4">
        <f t="shared" si="4"/>
        <v>1736762.2</v>
      </c>
      <c r="AG22" s="4">
        <f t="shared" si="4"/>
        <v>5757562.6500000004</v>
      </c>
      <c r="AH22" s="4">
        <f t="shared" si="4"/>
        <v>6969940</v>
      </c>
      <c r="AI22" s="4">
        <f t="shared" si="4"/>
        <v>683290</v>
      </c>
      <c r="AJ22" s="4">
        <f t="shared" si="4"/>
        <v>303088.05</v>
      </c>
      <c r="AK22" s="4">
        <f t="shared" si="4"/>
        <v>5063974.8499999996</v>
      </c>
      <c r="AL22" s="4">
        <f t="shared" si="4"/>
        <v>2329580</v>
      </c>
      <c r="AM22" s="4">
        <f t="shared" si="4"/>
        <v>3025562.7</v>
      </c>
      <c r="AN22" s="4">
        <f t="shared" si="4"/>
        <v>329489.84999999998</v>
      </c>
      <c r="AO22" s="4">
        <f t="shared" si="4"/>
        <v>4632408.0999999996</v>
      </c>
      <c r="AP22" s="4">
        <f t="shared" si="4"/>
        <v>1812819.3</v>
      </c>
      <c r="AQ22" s="4">
        <f t="shared" si="4"/>
        <v>1746166</v>
      </c>
      <c r="AR22" s="4">
        <f t="shared" si="4"/>
        <v>3200257.4499999997</v>
      </c>
      <c r="AS22" s="4">
        <f t="shared" si="4"/>
        <v>1654606.9500000002</v>
      </c>
      <c r="AT22" s="4">
        <f t="shared" si="4"/>
        <v>2357594.75</v>
      </c>
      <c r="AU22" s="4">
        <f t="shared" si="4"/>
        <v>2024111.5</v>
      </c>
      <c r="AV22" s="4">
        <f t="shared" si="4"/>
        <v>5125075.43</v>
      </c>
      <c r="AW22" s="4">
        <f t="shared" si="4"/>
        <v>1935955.15</v>
      </c>
      <c r="AX22" s="4">
        <f t="shared" si="4"/>
        <v>487333.4</v>
      </c>
      <c r="AY22" s="4">
        <f t="shared" si="4"/>
        <v>1053328.7</v>
      </c>
      <c r="AZ22" s="4">
        <f t="shared" si="4"/>
        <v>4972694.55</v>
      </c>
      <c r="BA22" s="4">
        <f t="shared" si="4"/>
        <v>1115545.7</v>
      </c>
      <c r="BB22" s="4">
        <f t="shared" si="4"/>
        <v>3134407.95</v>
      </c>
      <c r="BC22" s="4">
        <f t="shared" si="4"/>
        <v>401054.25</v>
      </c>
      <c r="BD22" s="4">
        <f t="shared" si="4"/>
        <v>22203417.350000001</v>
      </c>
      <c r="BE22" s="4">
        <f t="shared" si="4"/>
        <v>1311077.8</v>
      </c>
      <c r="BF22" s="4">
        <f t="shared" si="0"/>
        <v>97332796.840000018</v>
      </c>
      <c r="BG22" s="4">
        <f t="shared" si="1"/>
        <v>31151535.870000001</v>
      </c>
      <c r="BH22" s="4">
        <f t="shared" si="2"/>
        <v>69916461.730000004</v>
      </c>
    </row>
    <row r="23" spans="1:60" ht="15.75" thickBot="1" x14ac:dyDescent="0.3">
      <c r="B23" s="121"/>
      <c r="D23" s="4"/>
      <c r="BF23" s="4"/>
      <c r="BG23" s="4"/>
      <c r="BH23" s="4"/>
    </row>
    <row r="24" spans="1:60" ht="15.75" thickBot="1" x14ac:dyDescent="0.3">
      <c r="A24" s="7" t="s">
        <v>515</v>
      </c>
      <c r="B24" s="121"/>
      <c r="D24" s="120">
        <f>IF(D22&lt;&gt;0,D15/D22,"")*100</f>
        <v>117.28111054929138</v>
      </c>
      <c r="E24" s="144">
        <f>IF(E22&lt;&gt;0,E15/E22,"")*100</f>
        <v>73.961428193617735</v>
      </c>
      <c r="F24" s="126">
        <f t="shared" ref="F24:BH24" si="5">IF(F22&lt;&gt;0,F15/F22,"")*100</f>
        <v>45.637606853546188</v>
      </c>
      <c r="G24" s="126">
        <f t="shared" si="5"/>
        <v>190.50927029513406</v>
      </c>
      <c r="H24" s="126">
        <f t="shared" si="5"/>
        <v>29.836936326213404</v>
      </c>
      <c r="I24" s="126">
        <f t="shared" si="5"/>
        <v>138.19892255940579</v>
      </c>
      <c r="J24" s="126">
        <f t="shared" si="5"/>
        <v>146.21275852351943</v>
      </c>
      <c r="K24" s="126">
        <f t="shared" si="5"/>
        <v>16.242072064674066</v>
      </c>
      <c r="L24" s="126">
        <f t="shared" si="5"/>
        <v>205.94207770344184</v>
      </c>
      <c r="M24" s="126">
        <f t="shared" si="5"/>
        <v>66.625944825254095</v>
      </c>
      <c r="N24" s="126" t="e">
        <f t="shared" si="5"/>
        <v>#VALUE!</v>
      </c>
      <c r="O24" s="126">
        <f t="shared" si="5"/>
        <v>136.50038563613555</v>
      </c>
      <c r="P24" s="126">
        <f t="shared" si="5"/>
        <v>102.20765484411167</v>
      </c>
      <c r="Q24" s="126">
        <f t="shared" si="5"/>
        <v>118.62027733872939</v>
      </c>
      <c r="R24" s="126">
        <f t="shared" si="5"/>
        <v>183.28367780200932</v>
      </c>
      <c r="S24" s="126">
        <f t="shared" si="5"/>
        <v>278.41725658221168</v>
      </c>
      <c r="T24" s="126">
        <f t="shared" si="5"/>
        <v>11.839593017718689</v>
      </c>
      <c r="U24" s="126">
        <f t="shared" si="5"/>
        <v>45.150418141514933</v>
      </c>
      <c r="V24" s="126">
        <f t="shared" si="5"/>
        <v>35.153173954112901</v>
      </c>
      <c r="W24" s="126">
        <f t="shared" si="5"/>
        <v>129.97675808637399</v>
      </c>
      <c r="X24" s="126">
        <f t="shared" si="5"/>
        <v>-142.35555754642158</v>
      </c>
      <c r="Y24" s="126">
        <f t="shared" si="5"/>
        <v>221.94677730489971</v>
      </c>
      <c r="Z24" s="126">
        <f t="shared" si="5"/>
        <v>-127.61722038559849</v>
      </c>
      <c r="AA24" s="126">
        <f t="shared" si="5"/>
        <v>54.353786631281075</v>
      </c>
      <c r="AB24" s="126">
        <f t="shared" si="5"/>
        <v>50.187349747683271</v>
      </c>
      <c r="AC24" s="126">
        <f t="shared" si="5"/>
        <v>23.987434492782</v>
      </c>
      <c r="AD24" s="126">
        <f t="shared" si="5"/>
        <v>464.32733048948006</v>
      </c>
      <c r="AE24" s="126">
        <f t="shared" si="5"/>
        <v>97.989706638158609</v>
      </c>
      <c r="AF24" s="126">
        <f t="shared" si="5"/>
        <v>-178.54850537396541</v>
      </c>
      <c r="AG24" s="126">
        <f t="shared" si="5"/>
        <v>-18.717430543287268</v>
      </c>
      <c r="AH24" s="126">
        <f t="shared" si="5"/>
        <v>146.15831700129414</v>
      </c>
      <c r="AI24" s="126">
        <f t="shared" si="5"/>
        <v>17.856693351285692</v>
      </c>
      <c r="AJ24" s="126">
        <f t="shared" si="5"/>
        <v>-373.17177302107427</v>
      </c>
      <c r="AK24" s="126">
        <f t="shared" si="5"/>
        <v>224.44528056848463</v>
      </c>
      <c r="AL24" s="126">
        <f t="shared" si="5"/>
        <v>-145.19222349092971</v>
      </c>
      <c r="AM24" s="126">
        <f t="shared" si="5"/>
        <v>226.3063313809362</v>
      </c>
      <c r="AN24" s="126">
        <f t="shared" si="5"/>
        <v>-157.18475698113309</v>
      </c>
      <c r="AO24" s="126">
        <f t="shared" si="5"/>
        <v>-82.961020424776464</v>
      </c>
      <c r="AP24" s="126">
        <f t="shared" si="5"/>
        <v>80.529192291807561</v>
      </c>
      <c r="AQ24" s="126">
        <f t="shared" si="5"/>
        <v>53.150845910411725</v>
      </c>
      <c r="AR24" s="126">
        <f t="shared" si="5"/>
        <v>-63.146519352685196</v>
      </c>
      <c r="AS24" s="126">
        <f t="shared" si="5"/>
        <v>189.73399634275683</v>
      </c>
      <c r="AT24" s="126">
        <f t="shared" si="5"/>
        <v>215.90250699362136</v>
      </c>
      <c r="AU24" s="126">
        <f t="shared" si="5"/>
        <v>-89.380650720081391</v>
      </c>
      <c r="AV24" s="126">
        <f t="shared" si="5"/>
        <v>191.22598377054521</v>
      </c>
      <c r="AW24" s="126">
        <f t="shared" si="5"/>
        <v>151.98209886215599</v>
      </c>
      <c r="AX24" s="126">
        <f t="shared" si="5"/>
        <v>62.237146068789869</v>
      </c>
      <c r="AY24" s="126">
        <f t="shared" si="5"/>
        <v>5.920731107013415</v>
      </c>
      <c r="AZ24" s="126">
        <f t="shared" si="5"/>
        <v>336.5294731404727</v>
      </c>
      <c r="BA24" s="126">
        <f t="shared" si="5"/>
        <v>-37.683695074078997</v>
      </c>
      <c r="BB24" s="126">
        <f t="shared" si="5"/>
        <v>201.93679064653983</v>
      </c>
      <c r="BC24" s="126">
        <f t="shared" si="5"/>
        <v>-142.26256422915355</v>
      </c>
      <c r="BD24" s="126">
        <f t="shared" si="5"/>
        <v>184.04026387406529</v>
      </c>
      <c r="BE24" s="126">
        <f t="shared" si="5"/>
        <v>163.41719843017705</v>
      </c>
      <c r="BF24" s="126">
        <f t="shared" si="5"/>
        <v>145.20272102354599</v>
      </c>
      <c r="BG24" s="126">
        <f t="shared" si="5"/>
        <v>35.845083069414649</v>
      </c>
      <c r="BH24" s="126">
        <f t="shared" si="5"/>
        <v>136.51190778014785</v>
      </c>
    </row>
    <row r="25" spans="1:60" x14ac:dyDescent="0.25">
      <c r="A25" s="123" t="s">
        <v>516</v>
      </c>
      <c r="B25" s="121"/>
      <c r="D25" s="4"/>
      <c r="BF25" s="4"/>
      <c r="BG25" s="4"/>
      <c r="BH25" s="4"/>
    </row>
    <row r="26" spans="1:60" x14ac:dyDescent="0.25">
      <c r="A26" s="123"/>
      <c r="B26" s="121"/>
      <c r="D26" s="4"/>
      <c r="BF26" s="4"/>
      <c r="BG26" s="4"/>
      <c r="BH26" s="4"/>
    </row>
    <row r="27" spans="1:60" x14ac:dyDescent="0.25">
      <c r="B27" s="121"/>
      <c r="D27" s="4"/>
      <c r="BF27" s="4"/>
      <c r="BG27" s="4"/>
      <c r="BH27" s="4"/>
    </row>
    <row r="28" spans="1:60" x14ac:dyDescent="0.25">
      <c r="A28" s="7" t="s">
        <v>517</v>
      </c>
      <c r="B28" s="121"/>
      <c r="D28" s="4"/>
      <c r="BF28" s="4"/>
      <c r="BG28" s="4"/>
      <c r="BH28" s="4"/>
    </row>
    <row r="29" spans="1:60" x14ac:dyDescent="0.25">
      <c r="B29" s="121"/>
      <c r="D29" s="4"/>
      <c r="BF29" s="4"/>
      <c r="BG29" s="4"/>
      <c r="BH29" s="4"/>
    </row>
    <row r="30" spans="1:60" x14ac:dyDescent="0.25">
      <c r="A30" s="111" t="s">
        <v>518</v>
      </c>
      <c r="B30" s="112"/>
      <c r="C30" s="124">
        <v>90</v>
      </c>
      <c r="D30" s="134">
        <f>'Base de données indicateurs1'!BF33-'Base de données indicateurs1'!BF33+'Base de données indicateurs1'!BF54-'Base de données indicateurs1'!BF55</f>
        <v>2549034.7099999995</v>
      </c>
      <c r="E30" s="146">
        <f>'Base de données indicateurs1'!E33-'Base de données indicateurs1'!E33+'Base de données indicateurs1'!E54-'Base de données indicateurs1'!E55</f>
        <v>6015.15</v>
      </c>
      <c r="F30" s="146">
        <f>'Base de données indicateurs1'!F33-'Base de données indicateurs1'!F33+'Base de données indicateurs1'!F54-'Base de données indicateurs1'!F55</f>
        <v>149441.67000000001</v>
      </c>
      <c r="G30" s="146">
        <f>'Base de données indicateurs1'!G33-'Base de données indicateurs1'!G33+'Base de données indicateurs1'!G54-'Base de données indicateurs1'!G55</f>
        <v>-35747.06</v>
      </c>
      <c r="H30" s="146">
        <f>'Base de données indicateurs1'!H33-'Base de données indicateurs1'!H33+'Base de données indicateurs1'!H54-'Base de données indicateurs1'!H55</f>
        <v>21653.66</v>
      </c>
      <c r="I30" s="146">
        <f>'Base de données indicateurs1'!I33-'Base de données indicateurs1'!I33+'Base de données indicateurs1'!I54-'Base de données indicateurs1'!I55</f>
        <v>-197032.69</v>
      </c>
      <c r="J30" s="146">
        <f>'Base de données indicateurs1'!J33-'Base de données indicateurs1'!J33+'Base de données indicateurs1'!J54-'Base de données indicateurs1'!J55</f>
        <v>643336.21</v>
      </c>
      <c r="K30" s="146">
        <f>'Base de données indicateurs1'!K33-'Base de données indicateurs1'!K33+'Base de données indicateurs1'!K54-'Base de données indicateurs1'!K55</f>
        <v>33519.97</v>
      </c>
      <c r="L30" s="146">
        <f>'Base de données indicateurs1'!L33-'Base de données indicateurs1'!L33+'Base de données indicateurs1'!L54-'Base de données indicateurs1'!L55</f>
        <v>-574635</v>
      </c>
      <c r="M30" s="146">
        <f>'Base de données indicateurs1'!M33-'Base de données indicateurs1'!M33+'Base de données indicateurs1'!M54-'Base de données indicateurs1'!M55</f>
        <v>-144001.48000000001</v>
      </c>
      <c r="N30" s="146">
        <f>'Base de données indicateurs1'!N33-'Base de données indicateurs1'!N33+'Base de données indicateurs1'!N54-'Base de données indicateurs1'!N55</f>
        <v>0</v>
      </c>
      <c r="O30" s="146">
        <f>'Base de données indicateurs1'!O33-'Base de données indicateurs1'!O33+'Base de données indicateurs1'!O54-'Base de données indicateurs1'!O55</f>
        <v>-1449255.52</v>
      </c>
      <c r="P30" s="146">
        <f>'Base de données indicateurs1'!P33-'Base de données indicateurs1'!P33+'Base de données indicateurs1'!P54-'Base de données indicateurs1'!P55</f>
        <v>-93731.8</v>
      </c>
      <c r="Q30" s="146">
        <f>'Base de données indicateurs1'!Q33-'Base de données indicateurs1'!Q33+'Base de données indicateurs1'!Q54-'Base de données indicateurs1'!Q55</f>
        <v>-28876.52</v>
      </c>
      <c r="R30" s="146">
        <f>'Base de données indicateurs1'!R33-'Base de données indicateurs1'!R33+'Base de données indicateurs1'!R54-'Base de données indicateurs1'!R55</f>
        <v>-16853.580000000002</v>
      </c>
      <c r="S30" s="146">
        <f>'Base de données indicateurs1'!S33-'Base de données indicateurs1'!S33+'Base de données indicateurs1'!S54-'Base de données indicateurs1'!S55</f>
        <v>-13071.37</v>
      </c>
      <c r="T30" s="146">
        <f>'Base de données indicateurs1'!T33-'Base de données indicateurs1'!T33+'Base de données indicateurs1'!T54-'Base de données indicateurs1'!T55</f>
        <v>81234.89</v>
      </c>
      <c r="U30" s="146">
        <f>'Base de données indicateurs1'!U33-'Base de données indicateurs1'!U33+'Base de données indicateurs1'!U54-'Base de données indicateurs1'!U55</f>
        <v>-1983</v>
      </c>
      <c r="V30" s="146">
        <f>'Base de données indicateurs1'!V33-'Base de données indicateurs1'!V33+'Base de données indicateurs1'!V54-'Base de données indicateurs1'!V55</f>
        <v>-152377.16</v>
      </c>
      <c r="W30" s="146">
        <f>'Base de données indicateurs1'!W33-'Base de données indicateurs1'!W33+'Base de données indicateurs1'!W54-'Base de données indicateurs1'!W55</f>
        <v>8997.4500000000007</v>
      </c>
      <c r="X30" s="146">
        <f>'Base de données indicateurs1'!X33-'Base de données indicateurs1'!X33+'Base de données indicateurs1'!X54-'Base de données indicateurs1'!X55</f>
        <v>26286</v>
      </c>
      <c r="Y30" s="146">
        <f>'Base de données indicateurs1'!Y33-'Base de données indicateurs1'!Y33+'Base de données indicateurs1'!Y54-'Base de données indicateurs1'!Y55</f>
        <v>94732.18</v>
      </c>
      <c r="Z30" s="146">
        <f>'Base de données indicateurs1'!Z33-'Base de données indicateurs1'!Z33+'Base de données indicateurs1'!Z54-'Base de données indicateurs1'!Z55</f>
        <v>3333844.9</v>
      </c>
      <c r="AA30" s="146">
        <f>'Base de données indicateurs1'!AA33-'Base de données indicateurs1'!AA33+'Base de données indicateurs1'!AA54-'Base de données indicateurs1'!AA55</f>
        <v>-2729.75</v>
      </c>
      <c r="AB30" s="146">
        <f>'Base de données indicateurs1'!AB33-'Base de données indicateurs1'!AB33+'Base de données indicateurs1'!AB54-'Base de données indicateurs1'!AB55</f>
        <v>-8071.54</v>
      </c>
      <c r="AC30" s="146">
        <f>'Base de données indicateurs1'!AC33-'Base de données indicateurs1'!AC33+'Base de données indicateurs1'!AC54-'Base de données indicateurs1'!AC55</f>
        <v>-115009</v>
      </c>
      <c r="AD30" s="146">
        <f>'Base de données indicateurs1'!AD33-'Base de données indicateurs1'!AD33+'Base de données indicateurs1'!AD54-'Base de données indicateurs1'!AD55</f>
        <v>-169604.71</v>
      </c>
      <c r="AE30" s="146">
        <f>'Base de données indicateurs1'!AE33-'Base de données indicateurs1'!AE33+'Base de données indicateurs1'!AE54-'Base de données indicateurs1'!AE55</f>
        <v>-167058.57</v>
      </c>
      <c r="AF30" s="146">
        <f>'Base de données indicateurs1'!AF33-'Base de données indicateurs1'!AF33+'Base de données indicateurs1'!AF54-'Base de données indicateurs1'!AF55</f>
        <v>27072.7</v>
      </c>
      <c r="AG30" s="146">
        <f>'Base de données indicateurs1'!AG33-'Base de données indicateurs1'!AG33+'Base de données indicateurs1'!AG54-'Base de données indicateurs1'!AG55</f>
        <v>902636.72</v>
      </c>
      <c r="AH30" s="146">
        <f>'Base de données indicateurs1'!AH33-'Base de données indicateurs1'!AH33+'Base de données indicateurs1'!AH54-'Base de données indicateurs1'!AH55</f>
        <v>21605</v>
      </c>
      <c r="AI30" s="146">
        <f>'Base de données indicateurs1'!AI33-'Base de données indicateurs1'!AI33+'Base de données indicateurs1'!AI54-'Base de données indicateurs1'!AI55</f>
        <v>2281</v>
      </c>
      <c r="AJ30" s="146">
        <f>'Base de données indicateurs1'!AJ33-'Base de données indicateurs1'!AJ33+'Base de données indicateurs1'!AJ54-'Base de données indicateurs1'!AJ55</f>
        <v>-28280.9</v>
      </c>
      <c r="AK30" s="146">
        <f>'Base de données indicateurs1'!AK33-'Base de données indicateurs1'!AK33+'Base de données indicateurs1'!AK54-'Base de données indicateurs1'!AK55</f>
        <v>92720</v>
      </c>
      <c r="AL30" s="146">
        <f>'Base de données indicateurs1'!AL33-'Base de données indicateurs1'!AL33+'Base de données indicateurs1'!AL54-'Base de données indicateurs1'!AL55</f>
        <v>-32824</v>
      </c>
      <c r="AM30" s="146">
        <f>'Base de données indicateurs1'!AM33-'Base de données indicateurs1'!AM33+'Base de données indicateurs1'!AM54-'Base de données indicateurs1'!AM55</f>
        <v>-97730</v>
      </c>
      <c r="AN30" s="146">
        <f>'Base de données indicateurs1'!AN33-'Base de données indicateurs1'!AN33+'Base de données indicateurs1'!AN54-'Base de données indicateurs1'!AN55</f>
        <v>14511.05</v>
      </c>
      <c r="AO30" s="146">
        <f>'Base de données indicateurs1'!AO33-'Base de données indicateurs1'!AO33+'Base de données indicateurs1'!AO54-'Base de données indicateurs1'!AO55</f>
        <v>313035.14</v>
      </c>
      <c r="AP30" s="146">
        <f>'Base de données indicateurs1'!AP33-'Base de données indicateurs1'!AP33+'Base de données indicateurs1'!AP54-'Base de données indicateurs1'!AP55</f>
        <v>197653.74</v>
      </c>
      <c r="AQ30" s="146">
        <f>'Base de données indicateurs1'!AQ33-'Base de données indicateurs1'!AQ33+'Base de données indicateurs1'!AQ54-'Base de données indicateurs1'!AQ55</f>
        <v>39059</v>
      </c>
      <c r="AR30" s="146">
        <f>'Base de données indicateurs1'!AR33-'Base de données indicateurs1'!AR33+'Base de données indicateurs1'!AR54-'Base de données indicateurs1'!AR55</f>
        <v>50671.79</v>
      </c>
      <c r="AS30" s="146">
        <f>'Base de données indicateurs1'!AS33-'Base de données indicateurs1'!AS33+'Base de données indicateurs1'!AS54-'Base de données indicateurs1'!AS55</f>
        <v>8666</v>
      </c>
      <c r="AT30" s="146">
        <f>'Base de données indicateurs1'!AT33-'Base de données indicateurs1'!AT33+'Base de données indicateurs1'!AT54-'Base de données indicateurs1'!AT55</f>
        <v>-30052.95</v>
      </c>
      <c r="AU30" s="146">
        <f>'Base de données indicateurs1'!AU33-'Base de données indicateurs1'!AU33+'Base de données indicateurs1'!AU54-'Base de données indicateurs1'!AU55</f>
        <v>81088.7</v>
      </c>
      <c r="AV30" s="146">
        <f>'Base de données indicateurs1'!AV33-'Base de données indicateurs1'!AV33+'Base de données indicateurs1'!AV54-'Base de données indicateurs1'!AV55</f>
        <v>-430556.03</v>
      </c>
      <c r="AW30" s="146">
        <f>'Base de données indicateurs1'!AW33-'Base de données indicateurs1'!AW33+'Base de données indicateurs1'!AW54-'Base de données indicateurs1'!AW55</f>
        <v>-41819.89</v>
      </c>
      <c r="AX30" s="146">
        <f>'Base de données indicateurs1'!AX33-'Base de données indicateurs1'!AX33+'Base de données indicateurs1'!AX54-'Base de données indicateurs1'!AX55</f>
        <v>10076.969999999999</v>
      </c>
      <c r="AY30" s="146">
        <f>'Base de données indicateurs1'!AY33-'Base de données indicateurs1'!AY33+'Base de données indicateurs1'!AY54-'Base de données indicateurs1'!AY55</f>
        <v>26132.85</v>
      </c>
      <c r="AZ30" s="146">
        <f>'Base de données indicateurs1'!AZ33-'Base de données indicateurs1'!AZ33+'Base de données indicateurs1'!AZ54-'Base de données indicateurs1'!AZ55</f>
        <v>79042.83</v>
      </c>
      <c r="BA30" s="146">
        <f>'Base de données indicateurs1'!BA33-'Base de données indicateurs1'!BA33+'Base de données indicateurs1'!BA54-'Base de données indicateurs1'!BA55</f>
        <v>24133.4</v>
      </c>
      <c r="BB30" s="146">
        <f>'Base de données indicateurs1'!BB33-'Base de données indicateurs1'!BB33+'Base de données indicateurs1'!BB54-'Base de données indicateurs1'!BB55</f>
        <v>-104585.94</v>
      </c>
      <c r="BC30" s="146">
        <f>'Base de données indicateurs1'!BC33-'Base de données indicateurs1'!BC33+'Base de données indicateurs1'!BC54-'Base de données indicateurs1'!BC55</f>
        <v>-2276.58</v>
      </c>
      <c r="BD30" s="146">
        <f>'Base de données indicateurs1'!BD33-'Base de données indicateurs1'!BD33+'Base de données indicateurs1'!BD54-'Base de données indicateurs1'!BD55</f>
        <v>189954.45</v>
      </c>
      <c r="BE30" s="146">
        <f>'Base de données indicateurs1'!BE33-'Base de données indicateurs1'!BE33+'Base de données indicateurs1'!BE54-'Base de données indicateurs1'!BE55</f>
        <v>7796.33</v>
      </c>
      <c r="BF30" s="4">
        <f t="shared" si="0"/>
        <v>-1763366.1800000004</v>
      </c>
      <c r="BG30" s="4">
        <f t="shared" si="1"/>
        <v>3917704.0300000007</v>
      </c>
      <c r="BH30" s="4">
        <f t="shared" si="2"/>
        <v>394696.86000000004</v>
      </c>
    </row>
    <row r="31" spans="1:60" x14ac:dyDescent="0.25">
      <c r="A31" s="114" t="s">
        <v>98</v>
      </c>
      <c r="B31" s="115" t="s">
        <v>231</v>
      </c>
      <c r="C31" s="114">
        <v>33</v>
      </c>
      <c r="D31" s="116">
        <f>'Base de données indicateurs1'!BF20</f>
        <v>17465661.400000006</v>
      </c>
      <c r="E31" s="4">
        <f>'Base de données indicateurs1'!E20</f>
        <v>487774.58</v>
      </c>
      <c r="F31" s="4">
        <f>'Base de données indicateurs1'!F20</f>
        <v>50349</v>
      </c>
      <c r="G31" s="4">
        <f>'Base de données indicateurs1'!G20</f>
        <v>26490.3</v>
      </c>
      <c r="H31" s="4">
        <f>'Base de données indicateurs1'!H20</f>
        <v>93840</v>
      </c>
      <c r="I31" s="4">
        <f>'Base de données indicateurs1'!I20</f>
        <v>497197</v>
      </c>
      <c r="J31" s="4">
        <f>'Base de données indicateurs1'!J20</f>
        <v>834227.87</v>
      </c>
      <c r="K31" s="4">
        <f>'Base de données indicateurs1'!K20</f>
        <v>436693.95</v>
      </c>
      <c r="L31" s="4">
        <f>'Base de données indicateurs1'!L20</f>
        <v>3184573.05</v>
      </c>
      <c r="M31" s="4">
        <f>'Base de données indicateurs1'!M20</f>
        <v>192920</v>
      </c>
      <c r="N31" s="4">
        <f>'Base de données indicateurs1'!N20</f>
        <v>0</v>
      </c>
      <c r="O31" s="4">
        <f>'Base de données indicateurs1'!O20</f>
        <v>1048101.7</v>
      </c>
      <c r="P31" s="4">
        <f>'Base de données indicateurs1'!P20</f>
        <v>137078</v>
      </c>
      <c r="Q31" s="4">
        <f>'Base de données indicateurs1'!Q20</f>
        <v>12845</v>
      </c>
      <c r="R31" s="4">
        <f>'Base de données indicateurs1'!R20</f>
        <v>81200</v>
      </c>
      <c r="S31" s="4">
        <f>'Base de données indicateurs1'!S20</f>
        <v>67550</v>
      </c>
      <c r="T31" s="4">
        <f>'Base de données indicateurs1'!T20</f>
        <v>102560</v>
      </c>
      <c r="U31" s="4">
        <f>'Base de données indicateurs1'!U20</f>
        <v>21086</v>
      </c>
      <c r="V31" s="4">
        <f>'Base de données indicateurs1'!V20</f>
        <v>149609.54999999999</v>
      </c>
      <c r="W31" s="4">
        <f>'Base de données indicateurs1'!W20</f>
        <v>849975.67</v>
      </c>
      <c r="X31" s="4">
        <f>'Base de données indicateurs1'!X20</f>
        <v>51671</v>
      </c>
      <c r="Y31" s="4">
        <f>'Base de données indicateurs1'!Y20</f>
        <v>216817</v>
      </c>
      <c r="Z31" s="4">
        <f>'Base de données indicateurs1'!Z20</f>
        <v>268500</v>
      </c>
      <c r="AA31" s="4">
        <f>'Base de données indicateurs1'!AA20</f>
        <v>40237</v>
      </c>
      <c r="AB31" s="4">
        <f>'Base de données indicateurs1'!AB20</f>
        <v>700</v>
      </c>
      <c r="AC31" s="4">
        <f>'Base de données indicateurs1'!AC20</f>
        <v>59546.8</v>
      </c>
      <c r="AD31" s="4">
        <f>'Base de données indicateurs1'!AD20</f>
        <v>118375</v>
      </c>
      <c r="AE31" s="4">
        <f>'Base de données indicateurs1'!AE20</f>
        <v>112900</v>
      </c>
      <c r="AF31" s="4">
        <f>'Base de données indicateurs1'!AF20</f>
        <v>46101.55</v>
      </c>
      <c r="AG31" s="4">
        <f>'Base de données indicateurs1'!AG20</f>
        <v>439539</v>
      </c>
      <c r="AH31" s="4">
        <f>'Base de données indicateurs1'!AH20</f>
        <v>966285</v>
      </c>
      <c r="AI31" s="4">
        <f>'Base de données indicateurs1'!AI20</f>
        <v>47194</v>
      </c>
      <c r="AJ31" s="4">
        <f>'Base de données indicateurs1'!AJ20</f>
        <v>4720</v>
      </c>
      <c r="AK31" s="4">
        <f>'Base de données indicateurs1'!AK20</f>
        <v>0</v>
      </c>
      <c r="AL31" s="4">
        <f>'Base de données indicateurs1'!AL20</f>
        <v>236997</v>
      </c>
      <c r="AM31" s="4">
        <f>'Base de données indicateurs1'!AM20</f>
        <v>172530</v>
      </c>
      <c r="AN31" s="4">
        <f>'Base de données indicateurs1'!AN20</f>
        <v>18600</v>
      </c>
      <c r="AO31" s="4">
        <f>'Base de données indicateurs1'!AO20</f>
        <v>371459</v>
      </c>
      <c r="AP31" s="4">
        <f>'Base de données indicateurs1'!AP20</f>
        <v>54350</v>
      </c>
      <c r="AQ31" s="4">
        <f>'Base de données indicateurs1'!AQ20</f>
        <v>151720</v>
      </c>
      <c r="AR31" s="4">
        <f>'Base de données indicateurs1'!AR20</f>
        <v>509414.85</v>
      </c>
      <c r="AS31" s="4">
        <f>'Base de données indicateurs1'!AS20</f>
        <v>99234.8</v>
      </c>
      <c r="AT31" s="4">
        <f>'Base de données indicateurs1'!AT20</f>
        <v>150006.67000000001</v>
      </c>
      <c r="AU31" s="4">
        <f>'Base de données indicateurs1'!AU20</f>
        <v>432093.9</v>
      </c>
      <c r="AV31" s="4">
        <f>'Base de données indicateurs1'!AV20</f>
        <v>337553.91</v>
      </c>
      <c r="AW31" s="4">
        <f>'Base de données indicateurs1'!AW20</f>
        <v>70004.160000000003</v>
      </c>
      <c r="AX31" s="4">
        <f>'Base de données indicateurs1'!AX20</f>
        <v>11750</v>
      </c>
      <c r="AY31" s="4">
        <f>'Base de données indicateurs1'!AY20</f>
        <v>141500</v>
      </c>
      <c r="AZ31" s="4">
        <f>'Base de données indicateurs1'!AZ20</f>
        <v>451323.05</v>
      </c>
      <c r="BA31" s="4">
        <f>'Base de données indicateurs1'!BA20</f>
        <v>29040</v>
      </c>
      <c r="BB31" s="4">
        <f>'Base de données indicateurs1'!BB20</f>
        <v>381409.63</v>
      </c>
      <c r="BC31" s="4">
        <f>'Base de données indicateurs1'!BC20</f>
        <v>12476</v>
      </c>
      <c r="BD31" s="4">
        <f>'Base de données indicateurs1'!BD20</f>
        <v>3089940.09</v>
      </c>
      <c r="BE31" s="4">
        <f>'Base de données indicateurs1'!BE20</f>
        <v>97600.320000000007</v>
      </c>
      <c r="BF31" s="4">
        <f t="shared" si="0"/>
        <v>8274071.6699999999</v>
      </c>
      <c r="BG31" s="4">
        <f t="shared" si="1"/>
        <v>2372586.35</v>
      </c>
      <c r="BH31" s="4">
        <f t="shared" si="2"/>
        <v>6819003.3800000008</v>
      </c>
    </row>
    <row r="32" spans="1:60" x14ac:dyDescent="0.25">
      <c r="A32" s="114" t="s">
        <v>233</v>
      </c>
      <c r="B32" s="115" t="s">
        <v>231</v>
      </c>
      <c r="C32" s="114">
        <v>35</v>
      </c>
      <c r="D32" s="116">
        <f>'Base de données indicateurs1'!BF24</f>
        <v>797548.13</v>
      </c>
      <c r="E32" s="4">
        <f>'Base de données indicateurs1'!E24</f>
        <v>21282.55</v>
      </c>
      <c r="F32" s="4">
        <f>'Base de données indicateurs1'!F24</f>
        <v>5654.61</v>
      </c>
      <c r="G32" s="4">
        <f>'Base de données indicateurs1'!G24</f>
        <v>0</v>
      </c>
      <c r="H32" s="4">
        <f>'Base de données indicateurs1'!H24</f>
        <v>94934.75</v>
      </c>
      <c r="I32" s="4">
        <f>'Base de données indicateurs1'!I24</f>
        <v>0</v>
      </c>
      <c r="J32" s="4">
        <f>'Base de données indicateurs1'!J24</f>
        <v>8283.7999999999993</v>
      </c>
      <c r="K32" s="4">
        <f>'Base de données indicateurs1'!K24</f>
        <v>42325.02</v>
      </c>
      <c r="L32" s="4">
        <f>'Base de données indicateurs1'!L24</f>
        <v>0</v>
      </c>
      <c r="M32" s="4">
        <f>'Base de données indicateurs1'!M24</f>
        <v>0</v>
      </c>
      <c r="N32" s="4">
        <f>'Base de données indicateurs1'!N24</f>
        <v>0</v>
      </c>
      <c r="O32" s="4">
        <f>'Base de données indicateurs1'!O24</f>
        <v>0</v>
      </c>
      <c r="P32" s="4">
        <f>'Base de données indicateurs1'!P24</f>
        <v>43166.75</v>
      </c>
      <c r="Q32" s="4">
        <f>'Base de données indicateurs1'!Q24</f>
        <v>0</v>
      </c>
      <c r="R32" s="4">
        <f>'Base de données indicateurs1'!R24</f>
        <v>125</v>
      </c>
      <c r="S32" s="4">
        <f>'Base de données indicateurs1'!S24</f>
        <v>0</v>
      </c>
      <c r="T32" s="4">
        <f>'Base de données indicateurs1'!T24</f>
        <v>0</v>
      </c>
      <c r="U32" s="4">
        <f>'Base de données indicateurs1'!U24</f>
        <v>4815</v>
      </c>
      <c r="V32" s="4">
        <f>'Base de données indicateurs1'!V24</f>
        <v>0</v>
      </c>
      <c r="W32" s="4">
        <f>'Base de données indicateurs1'!W24</f>
        <v>0</v>
      </c>
      <c r="X32" s="4">
        <f>'Base de données indicateurs1'!X24</f>
        <v>44370</v>
      </c>
      <c r="Y32" s="4">
        <f>'Base de données indicateurs1'!Y24</f>
        <v>304.89999999999998</v>
      </c>
      <c r="Z32" s="4">
        <f>'Base de données indicateurs1'!Z24</f>
        <v>14938.12</v>
      </c>
      <c r="AA32" s="4">
        <f>'Base de données indicateurs1'!AA24</f>
        <v>7247</v>
      </c>
      <c r="AB32" s="4">
        <f>'Base de données indicateurs1'!AB24</f>
        <v>0</v>
      </c>
      <c r="AC32" s="4">
        <f>'Base de données indicateurs1'!AC24</f>
        <v>978.98</v>
      </c>
      <c r="AD32" s="4">
        <f>'Base de données indicateurs1'!AD24</f>
        <v>4605.6499999999996</v>
      </c>
      <c r="AE32" s="4">
        <f>'Base de données indicateurs1'!AE24</f>
        <v>6363.23</v>
      </c>
      <c r="AF32" s="4">
        <f>'Base de données indicateurs1'!AF24</f>
        <v>88954</v>
      </c>
      <c r="AG32" s="4">
        <f>'Base de données indicateurs1'!AG24</f>
        <v>0</v>
      </c>
      <c r="AH32" s="4">
        <f>'Base de données indicateurs1'!AH24</f>
        <v>35175</v>
      </c>
      <c r="AI32" s="4">
        <f>'Base de données indicateurs1'!AI24</f>
        <v>10405</v>
      </c>
      <c r="AJ32" s="4">
        <f>'Base de données indicateurs1'!AJ24</f>
        <v>3000</v>
      </c>
      <c r="AK32" s="4">
        <f>'Base de données indicateurs1'!AK24</f>
        <v>5000</v>
      </c>
      <c r="AL32" s="4">
        <f>'Base de données indicateurs1'!AL24</f>
        <v>0</v>
      </c>
      <c r="AM32" s="4">
        <f>'Base de données indicateurs1'!AM24</f>
        <v>0</v>
      </c>
      <c r="AN32" s="4">
        <f>'Base de données indicateurs1'!AN24</f>
        <v>668.62</v>
      </c>
      <c r="AO32" s="4">
        <f>'Base de données indicateurs1'!AO24</f>
        <v>747.6</v>
      </c>
      <c r="AP32" s="4">
        <f>'Base de données indicateurs1'!AP24</f>
        <v>0</v>
      </c>
      <c r="AQ32" s="4">
        <f>'Base de données indicateurs1'!AQ24</f>
        <v>12042</v>
      </c>
      <c r="AR32" s="4">
        <f>'Base de données indicateurs1'!AR24</f>
        <v>88595.55</v>
      </c>
      <c r="AS32" s="4">
        <f>'Base de données indicateurs1'!AS24</f>
        <v>91611.82</v>
      </c>
      <c r="AT32" s="4">
        <f>'Base de données indicateurs1'!AT24</f>
        <v>1674.66</v>
      </c>
      <c r="AU32" s="4">
        <f>'Base de données indicateurs1'!AU24</f>
        <v>86982.5</v>
      </c>
      <c r="AV32" s="4">
        <f>'Base de données indicateurs1'!AV24</f>
        <v>357.23</v>
      </c>
      <c r="AW32" s="4">
        <f>'Base de données indicateurs1'!AW24</f>
        <v>15048</v>
      </c>
      <c r="AX32" s="4">
        <f>'Base de données indicateurs1'!AX24</f>
        <v>117.04</v>
      </c>
      <c r="AY32" s="4">
        <f>'Base de données indicateurs1'!AY24</f>
        <v>0</v>
      </c>
      <c r="AZ32" s="4">
        <f>'Base de données indicateurs1'!AZ24</f>
        <v>0</v>
      </c>
      <c r="BA32" s="4">
        <f>'Base de données indicateurs1'!BA24</f>
        <v>0</v>
      </c>
      <c r="BB32" s="4">
        <f>'Base de données indicateurs1'!BB24</f>
        <v>38678.46</v>
      </c>
      <c r="BC32" s="4">
        <f>'Base de données indicateurs1'!BC24</f>
        <v>0</v>
      </c>
      <c r="BD32" s="4">
        <f>'Base de données indicateurs1'!BD24</f>
        <v>6315</v>
      </c>
      <c r="BE32" s="4">
        <f>'Base de données indicateurs1'!BE24</f>
        <v>12780.29</v>
      </c>
      <c r="BF32" s="4">
        <f t="shared" si="0"/>
        <v>220587.48</v>
      </c>
      <c r="BG32" s="4">
        <f t="shared" si="1"/>
        <v>216341.88</v>
      </c>
      <c r="BH32" s="4">
        <f t="shared" si="2"/>
        <v>360618.76999999996</v>
      </c>
    </row>
    <row r="33" spans="1:60" x14ac:dyDescent="0.25">
      <c r="A33" s="114" t="s">
        <v>174</v>
      </c>
      <c r="B33" s="115" t="s">
        <v>232</v>
      </c>
      <c r="C33" s="114">
        <v>45</v>
      </c>
      <c r="D33" s="116">
        <f>'Base de données indicateurs1'!BF47</f>
        <v>1070928.5399999998</v>
      </c>
      <c r="E33" s="4">
        <f>'Base de données indicateurs1'!E47</f>
        <v>2612.4499999999998</v>
      </c>
      <c r="F33" s="4">
        <f>'Base de données indicateurs1'!F47</f>
        <v>0</v>
      </c>
      <c r="G33" s="4">
        <f>'Base de données indicateurs1'!G47</f>
        <v>52538.2</v>
      </c>
      <c r="H33" s="4">
        <f>'Base de données indicateurs1'!H47</f>
        <v>21235</v>
      </c>
      <c r="I33" s="4">
        <f>'Base de données indicateurs1'!I47</f>
        <v>0</v>
      </c>
      <c r="J33" s="4">
        <f>'Base de données indicateurs1'!J47</f>
        <v>9247.6</v>
      </c>
      <c r="K33" s="4">
        <f>'Base de données indicateurs1'!K47</f>
        <v>25559.85</v>
      </c>
      <c r="L33" s="4">
        <f>'Base de données indicateurs1'!L47</f>
        <v>41211.35</v>
      </c>
      <c r="M33" s="4">
        <f>'Base de données indicateurs1'!M47</f>
        <v>3896.35</v>
      </c>
      <c r="N33" s="4">
        <f>'Base de données indicateurs1'!N47</f>
        <v>0</v>
      </c>
      <c r="O33" s="4">
        <f>'Base de données indicateurs1'!O47</f>
        <v>19882.5</v>
      </c>
      <c r="P33" s="4">
        <f>'Base de données indicateurs1'!P47</f>
        <v>28838.6</v>
      </c>
      <c r="Q33" s="4">
        <f>'Base de données indicateurs1'!Q47</f>
        <v>37386</v>
      </c>
      <c r="R33" s="4">
        <f>'Base de données indicateurs1'!R47</f>
        <v>0</v>
      </c>
      <c r="S33" s="4">
        <f>'Base de données indicateurs1'!S47</f>
        <v>0</v>
      </c>
      <c r="T33" s="4">
        <f>'Base de données indicateurs1'!T47</f>
        <v>1908.7</v>
      </c>
      <c r="U33" s="4">
        <f>'Base de données indicateurs1'!U47</f>
        <v>760.75</v>
      </c>
      <c r="V33" s="4">
        <f>'Base de données indicateurs1'!V47</f>
        <v>1216</v>
      </c>
      <c r="W33" s="4">
        <f>'Base de données indicateurs1'!W47</f>
        <v>9045.5</v>
      </c>
      <c r="X33" s="4">
        <f>'Base de données indicateurs1'!X47</f>
        <v>41224</v>
      </c>
      <c r="Y33" s="4">
        <f>'Base de données indicateurs1'!Y47</f>
        <v>3475.3</v>
      </c>
      <c r="Z33" s="4">
        <f>'Base de données indicateurs1'!Z47</f>
        <v>4342.8900000000003</v>
      </c>
      <c r="AA33" s="4">
        <f>'Base de données indicateurs1'!AA47</f>
        <v>0</v>
      </c>
      <c r="AB33" s="4">
        <f>'Base de données indicateurs1'!AB47</f>
        <v>1826.7</v>
      </c>
      <c r="AC33" s="4">
        <f>'Base de données indicateurs1'!AC47</f>
        <v>17757.55</v>
      </c>
      <c r="AD33" s="4">
        <f>'Base de données indicateurs1'!AD47</f>
        <v>1896.3</v>
      </c>
      <c r="AE33" s="4">
        <f>'Base de données indicateurs1'!AE47</f>
        <v>1622.9</v>
      </c>
      <c r="AF33" s="4">
        <f>'Base de données indicateurs1'!AF47</f>
        <v>101694.38</v>
      </c>
      <c r="AG33" s="4">
        <f>'Base de données indicateurs1'!AG47</f>
        <v>15235.5</v>
      </c>
      <c r="AH33" s="4">
        <f>'Base de données indicateurs1'!AH47</f>
        <v>18816</v>
      </c>
      <c r="AI33" s="4">
        <f>'Base de données indicateurs1'!AI47</f>
        <v>2</v>
      </c>
      <c r="AJ33" s="4">
        <f>'Base de données indicateurs1'!AJ47</f>
        <v>13682</v>
      </c>
      <c r="AK33" s="4">
        <f>'Base de données indicateurs1'!AK47</f>
        <v>19457.7</v>
      </c>
      <c r="AL33" s="4">
        <f>'Base de données indicateurs1'!AL47</f>
        <v>1404</v>
      </c>
      <c r="AM33" s="4">
        <f>'Base de données indicateurs1'!AM47</f>
        <v>0</v>
      </c>
      <c r="AN33" s="4">
        <f>'Base de données indicateurs1'!AN47</f>
        <v>329.1</v>
      </c>
      <c r="AO33" s="4">
        <f>'Base de données indicateurs1'!AO47</f>
        <v>30380.65</v>
      </c>
      <c r="AP33" s="4">
        <f>'Base de données indicateurs1'!AP47</f>
        <v>0</v>
      </c>
      <c r="AQ33" s="4">
        <f>'Base de données indicateurs1'!AQ47</f>
        <v>1827</v>
      </c>
      <c r="AR33" s="4">
        <f>'Base de données indicateurs1'!AR47</f>
        <v>414185.15</v>
      </c>
      <c r="AS33" s="4">
        <f>'Base de données indicateurs1'!AS47</f>
        <v>15731.1</v>
      </c>
      <c r="AT33" s="4">
        <f>'Base de données indicateurs1'!AT47</f>
        <v>20060.32</v>
      </c>
      <c r="AU33" s="4">
        <f>'Base de données indicateurs1'!AU47</f>
        <v>70569.3</v>
      </c>
      <c r="AV33" s="4">
        <f>'Base de données indicateurs1'!AV47</f>
        <v>6699.85</v>
      </c>
      <c r="AW33" s="4">
        <f>'Base de données indicateurs1'!AW47</f>
        <v>2179.9499999999998</v>
      </c>
      <c r="AX33" s="4">
        <f>'Base de données indicateurs1'!AX47</f>
        <v>529.95000000000005</v>
      </c>
      <c r="AY33" s="4">
        <f>'Base de données indicateurs1'!AY47</f>
        <v>0</v>
      </c>
      <c r="AZ33" s="4">
        <f>'Base de données indicateurs1'!AZ47</f>
        <v>9743.15</v>
      </c>
      <c r="BA33" s="4">
        <f>'Base de données indicateurs1'!BA47</f>
        <v>0</v>
      </c>
      <c r="BB33" s="4">
        <f>'Base de données indicateurs1'!BB47</f>
        <v>0</v>
      </c>
      <c r="BC33" s="4">
        <f>'Base de données indicateurs1'!BC47</f>
        <v>0</v>
      </c>
      <c r="BD33" s="4">
        <f>'Base de données indicateurs1'!BD47</f>
        <v>820.95</v>
      </c>
      <c r="BE33" s="4">
        <f>'Base de données indicateurs1'!BE47</f>
        <v>96</v>
      </c>
      <c r="BF33" s="4">
        <f t="shared" si="0"/>
        <v>255338.85000000003</v>
      </c>
      <c r="BG33" s="4">
        <f t="shared" si="1"/>
        <v>221575.52000000002</v>
      </c>
      <c r="BH33" s="4">
        <f t="shared" si="2"/>
        <v>594014.16999999993</v>
      </c>
    </row>
    <row r="34" spans="1:60" x14ac:dyDescent="0.25">
      <c r="A34" s="114" t="s">
        <v>519</v>
      </c>
      <c r="B34" s="115" t="s">
        <v>231</v>
      </c>
      <c r="C34" s="114">
        <v>364</v>
      </c>
      <c r="D34" s="116">
        <f>'Base de données indicateurs1'!BF28</f>
        <v>0</v>
      </c>
      <c r="E34" s="4">
        <f>'Base de données indicateurs1'!E28</f>
        <v>0</v>
      </c>
      <c r="F34" s="4">
        <f>'Base de données indicateurs1'!F28</f>
        <v>0</v>
      </c>
      <c r="G34" s="4">
        <f>'Base de données indicateurs1'!G28</f>
        <v>0</v>
      </c>
      <c r="H34" s="4">
        <f>'Base de données indicateurs1'!H28</f>
        <v>0</v>
      </c>
      <c r="I34" s="4">
        <f>'Base de données indicateurs1'!I28</f>
        <v>0</v>
      </c>
      <c r="J34" s="4">
        <f>'Base de données indicateurs1'!J28</f>
        <v>0</v>
      </c>
      <c r="K34" s="4">
        <f>'Base de données indicateurs1'!K28</f>
        <v>0</v>
      </c>
      <c r="L34" s="4">
        <f>'Base de données indicateurs1'!L28</f>
        <v>0</v>
      </c>
      <c r="M34" s="4">
        <f>'Base de données indicateurs1'!M28</f>
        <v>0</v>
      </c>
      <c r="N34" s="4">
        <f>'Base de données indicateurs1'!N28</f>
        <v>0</v>
      </c>
      <c r="O34" s="4">
        <f>'Base de données indicateurs1'!O28</f>
        <v>0</v>
      </c>
      <c r="P34" s="4">
        <f>'Base de données indicateurs1'!P28</f>
        <v>0</v>
      </c>
      <c r="Q34" s="4">
        <f>'Base de données indicateurs1'!Q28</f>
        <v>0</v>
      </c>
      <c r="R34" s="4">
        <f>'Base de données indicateurs1'!R28</f>
        <v>0</v>
      </c>
      <c r="S34" s="4">
        <f>'Base de données indicateurs1'!S28</f>
        <v>0</v>
      </c>
      <c r="T34" s="4">
        <f>'Base de données indicateurs1'!T28</f>
        <v>0</v>
      </c>
      <c r="U34" s="4">
        <f>'Base de données indicateurs1'!U28</f>
        <v>0</v>
      </c>
      <c r="V34" s="4">
        <f>'Base de données indicateurs1'!V28</f>
        <v>0</v>
      </c>
      <c r="W34" s="4">
        <f>'Base de données indicateurs1'!W28</f>
        <v>0</v>
      </c>
      <c r="X34" s="4">
        <f>'Base de données indicateurs1'!X28</f>
        <v>0</v>
      </c>
      <c r="Y34" s="4">
        <f>'Base de données indicateurs1'!Y28</f>
        <v>0</v>
      </c>
      <c r="Z34" s="4">
        <f>'Base de données indicateurs1'!Z28</f>
        <v>0</v>
      </c>
      <c r="AA34" s="4">
        <f>'Base de données indicateurs1'!AA28</f>
        <v>0</v>
      </c>
      <c r="AB34" s="4">
        <f>'Base de données indicateurs1'!AB28</f>
        <v>0</v>
      </c>
      <c r="AC34" s="4">
        <f>'Base de données indicateurs1'!AC28</f>
        <v>0</v>
      </c>
      <c r="AD34" s="4">
        <f>'Base de données indicateurs1'!AD28</f>
        <v>0</v>
      </c>
      <c r="AE34" s="4">
        <f>'Base de données indicateurs1'!AE28</f>
        <v>0</v>
      </c>
      <c r="AF34" s="4">
        <f>'Base de données indicateurs1'!AF28</f>
        <v>0</v>
      </c>
      <c r="AG34" s="4">
        <f>'Base de données indicateurs1'!AG28</f>
        <v>0</v>
      </c>
      <c r="AH34" s="4">
        <f>'Base de données indicateurs1'!AH28</f>
        <v>0</v>
      </c>
      <c r="AI34" s="4">
        <f>'Base de données indicateurs1'!AI28</f>
        <v>0</v>
      </c>
      <c r="AJ34" s="4">
        <f>'Base de données indicateurs1'!AJ28</f>
        <v>0</v>
      </c>
      <c r="AK34" s="4">
        <f>'Base de données indicateurs1'!AK28</f>
        <v>0</v>
      </c>
      <c r="AL34" s="4">
        <f>'Base de données indicateurs1'!AL28</f>
        <v>0</v>
      </c>
      <c r="AM34" s="4">
        <f>'Base de données indicateurs1'!AM28</f>
        <v>0</v>
      </c>
      <c r="AN34" s="4">
        <f>'Base de données indicateurs1'!AN28</f>
        <v>0</v>
      </c>
      <c r="AO34" s="4">
        <f>'Base de données indicateurs1'!AO28</f>
        <v>0</v>
      </c>
      <c r="AP34" s="4">
        <f>'Base de données indicateurs1'!AP28</f>
        <v>0</v>
      </c>
      <c r="AQ34" s="4">
        <f>'Base de données indicateurs1'!AQ28</f>
        <v>0</v>
      </c>
      <c r="AR34" s="4">
        <f>'Base de données indicateurs1'!AR28</f>
        <v>0</v>
      </c>
      <c r="AS34" s="4">
        <f>'Base de données indicateurs1'!AS28</f>
        <v>0</v>
      </c>
      <c r="AT34" s="4">
        <f>'Base de données indicateurs1'!AT28</f>
        <v>0</v>
      </c>
      <c r="AU34" s="4">
        <f>'Base de données indicateurs1'!AU28</f>
        <v>0</v>
      </c>
      <c r="AV34" s="4">
        <f>'Base de données indicateurs1'!AV28</f>
        <v>0</v>
      </c>
      <c r="AW34" s="4">
        <f>'Base de données indicateurs1'!AW28</f>
        <v>0</v>
      </c>
      <c r="AX34" s="4">
        <f>'Base de données indicateurs1'!AX28</f>
        <v>0</v>
      </c>
      <c r="AY34" s="4">
        <f>'Base de données indicateurs1'!AY28</f>
        <v>0</v>
      </c>
      <c r="AZ34" s="4">
        <f>'Base de données indicateurs1'!AZ28</f>
        <v>0</v>
      </c>
      <c r="BA34" s="4">
        <f>'Base de données indicateurs1'!BA28</f>
        <v>0</v>
      </c>
      <c r="BB34" s="4">
        <f>'Base de données indicateurs1'!BB28</f>
        <v>0</v>
      </c>
      <c r="BC34" s="4">
        <f>'Base de données indicateurs1'!BC28</f>
        <v>0</v>
      </c>
      <c r="BD34" s="4">
        <f>'Base de données indicateurs1'!BD28</f>
        <v>0</v>
      </c>
      <c r="BE34" s="4">
        <f>'Base de données indicateurs1'!BE28</f>
        <v>0</v>
      </c>
      <c r="BF34" s="4">
        <f t="shared" si="0"/>
        <v>0</v>
      </c>
      <c r="BG34" s="4">
        <f t="shared" si="1"/>
        <v>0</v>
      </c>
      <c r="BH34" s="4">
        <f t="shared" si="2"/>
        <v>0</v>
      </c>
    </row>
    <row r="35" spans="1:60" x14ac:dyDescent="0.25">
      <c r="A35" s="114" t="s">
        <v>520</v>
      </c>
      <c r="B35" s="115" t="s">
        <v>231</v>
      </c>
      <c r="C35" s="114">
        <v>365</v>
      </c>
      <c r="D35" s="116">
        <f>'Base de données indicateurs1'!BF29</f>
        <v>8100</v>
      </c>
      <c r="E35" s="4">
        <f>'Base de données indicateurs1'!E29</f>
        <v>0</v>
      </c>
      <c r="F35" s="4">
        <f>'Base de données indicateurs1'!F29</f>
        <v>0</v>
      </c>
      <c r="G35" s="4">
        <f>'Base de données indicateurs1'!G29</f>
        <v>0</v>
      </c>
      <c r="H35" s="4">
        <f>'Base de données indicateurs1'!H29</f>
        <v>0</v>
      </c>
      <c r="I35" s="4">
        <f>'Base de données indicateurs1'!I29</f>
        <v>0</v>
      </c>
      <c r="J35" s="4">
        <f>'Base de données indicateurs1'!J29</f>
        <v>0</v>
      </c>
      <c r="K35" s="4">
        <f>'Base de données indicateurs1'!K29</f>
        <v>0</v>
      </c>
      <c r="L35" s="4">
        <f>'Base de données indicateurs1'!L29</f>
        <v>0</v>
      </c>
      <c r="M35" s="4">
        <f>'Base de données indicateurs1'!M29</f>
        <v>0</v>
      </c>
      <c r="N35" s="4">
        <f>'Base de données indicateurs1'!N29</f>
        <v>0</v>
      </c>
      <c r="O35" s="4">
        <f>'Base de données indicateurs1'!O29</f>
        <v>0</v>
      </c>
      <c r="P35" s="4">
        <f>'Base de données indicateurs1'!P29</f>
        <v>0</v>
      </c>
      <c r="Q35" s="4">
        <f>'Base de données indicateurs1'!Q29</f>
        <v>0</v>
      </c>
      <c r="R35" s="4">
        <f>'Base de données indicateurs1'!R29</f>
        <v>0</v>
      </c>
      <c r="S35" s="4">
        <f>'Base de données indicateurs1'!S29</f>
        <v>0</v>
      </c>
      <c r="T35" s="4">
        <f>'Base de données indicateurs1'!T29</f>
        <v>0</v>
      </c>
      <c r="U35" s="4">
        <f>'Base de données indicateurs1'!U29</f>
        <v>8100</v>
      </c>
      <c r="V35" s="4">
        <f>'Base de données indicateurs1'!V29</f>
        <v>0</v>
      </c>
      <c r="W35" s="4">
        <f>'Base de données indicateurs1'!W29</f>
        <v>0</v>
      </c>
      <c r="X35" s="4">
        <f>'Base de données indicateurs1'!X29</f>
        <v>0</v>
      </c>
      <c r="Y35" s="4">
        <f>'Base de données indicateurs1'!Y29</f>
        <v>0</v>
      </c>
      <c r="Z35" s="4">
        <f>'Base de données indicateurs1'!Z29</f>
        <v>0</v>
      </c>
      <c r="AA35" s="4">
        <f>'Base de données indicateurs1'!AA29</f>
        <v>0</v>
      </c>
      <c r="AB35" s="4">
        <f>'Base de données indicateurs1'!AB29</f>
        <v>0</v>
      </c>
      <c r="AC35" s="4">
        <f>'Base de données indicateurs1'!AC29</f>
        <v>0</v>
      </c>
      <c r="AD35" s="4">
        <f>'Base de données indicateurs1'!AD29</f>
        <v>0</v>
      </c>
      <c r="AE35" s="4">
        <f>'Base de données indicateurs1'!AE29</f>
        <v>0</v>
      </c>
      <c r="AF35" s="4">
        <f>'Base de données indicateurs1'!AF29</f>
        <v>0</v>
      </c>
      <c r="AG35" s="4">
        <f>'Base de données indicateurs1'!AG29</f>
        <v>0</v>
      </c>
      <c r="AH35" s="4">
        <f>'Base de données indicateurs1'!AH29</f>
        <v>0</v>
      </c>
      <c r="AI35" s="4">
        <f>'Base de données indicateurs1'!AI29</f>
        <v>0</v>
      </c>
      <c r="AJ35" s="4">
        <f>'Base de données indicateurs1'!AJ29</f>
        <v>0</v>
      </c>
      <c r="AK35" s="4">
        <f>'Base de données indicateurs1'!AK29</f>
        <v>0</v>
      </c>
      <c r="AL35" s="4">
        <f>'Base de données indicateurs1'!AL29</f>
        <v>0</v>
      </c>
      <c r="AM35" s="4">
        <f>'Base de données indicateurs1'!AM29</f>
        <v>0</v>
      </c>
      <c r="AN35" s="4">
        <f>'Base de données indicateurs1'!AN29</f>
        <v>0</v>
      </c>
      <c r="AO35" s="4">
        <f>'Base de données indicateurs1'!AO29</f>
        <v>0</v>
      </c>
      <c r="AP35" s="4">
        <f>'Base de données indicateurs1'!AP29</f>
        <v>0</v>
      </c>
      <c r="AQ35" s="4">
        <f>'Base de données indicateurs1'!AQ29</f>
        <v>0</v>
      </c>
      <c r="AR35" s="4">
        <f>'Base de données indicateurs1'!AR29</f>
        <v>0</v>
      </c>
      <c r="AS35" s="4">
        <f>'Base de données indicateurs1'!AS29</f>
        <v>0</v>
      </c>
      <c r="AT35" s="4">
        <f>'Base de données indicateurs1'!AT29</f>
        <v>0</v>
      </c>
      <c r="AU35" s="4">
        <f>'Base de données indicateurs1'!AU29</f>
        <v>0</v>
      </c>
      <c r="AV35" s="4">
        <f>'Base de données indicateurs1'!AV29</f>
        <v>0</v>
      </c>
      <c r="AW35" s="4">
        <f>'Base de données indicateurs1'!AW29</f>
        <v>0</v>
      </c>
      <c r="AX35" s="4">
        <f>'Base de données indicateurs1'!AX29</f>
        <v>0</v>
      </c>
      <c r="AY35" s="4">
        <f>'Base de données indicateurs1'!AY29</f>
        <v>0</v>
      </c>
      <c r="AZ35" s="4">
        <f>'Base de données indicateurs1'!AZ29</f>
        <v>0</v>
      </c>
      <c r="BA35" s="4">
        <f>'Base de données indicateurs1'!BA29</f>
        <v>0</v>
      </c>
      <c r="BB35" s="4">
        <f>'Base de données indicateurs1'!BB29</f>
        <v>0</v>
      </c>
      <c r="BC35" s="4">
        <f>'Base de données indicateurs1'!BC29</f>
        <v>0</v>
      </c>
      <c r="BD35" s="4">
        <f>'Base de données indicateurs1'!BD29</f>
        <v>0</v>
      </c>
      <c r="BE35" s="4">
        <f>'Base de données indicateurs1'!BE29</f>
        <v>0</v>
      </c>
      <c r="BF35" s="4">
        <f t="shared" si="0"/>
        <v>8100</v>
      </c>
      <c r="BG35" s="4">
        <f t="shared" si="1"/>
        <v>0</v>
      </c>
      <c r="BH35" s="4">
        <f t="shared" si="2"/>
        <v>0</v>
      </c>
    </row>
    <row r="36" spans="1:60" x14ac:dyDescent="0.25">
      <c r="A36" s="114" t="s">
        <v>521</v>
      </c>
      <c r="B36" s="115" t="s">
        <v>231</v>
      </c>
      <c r="C36" s="114">
        <v>366</v>
      </c>
      <c r="D36" s="116">
        <f>'Base de données indicateurs1'!BF30</f>
        <v>15247.55</v>
      </c>
      <c r="E36" s="4">
        <f>'Base de données indicateurs1'!E30</f>
        <v>0</v>
      </c>
      <c r="F36" s="4">
        <f>'Base de données indicateurs1'!F30</f>
        <v>0</v>
      </c>
      <c r="G36" s="4">
        <f>'Base de données indicateurs1'!G30</f>
        <v>0</v>
      </c>
      <c r="H36" s="4">
        <f>'Base de données indicateurs1'!H30</f>
        <v>0</v>
      </c>
      <c r="I36" s="4">
        <f>'Base de données indicateurs1'!I30</f>
        <v>0</v>
      </c>
      <c r="J36" s="4">
        <f>'Base de données indicateurs1'!J30</f>
        <v>0</v>
      </c>
      <c r="K36" s="4">
        <f>'Base de données indicateurs1'!K30</f>
        <v>0</v>
      </c>
      <c r="L36" s="4">
        <f>'Base de données indicateurs1'!L30</f>
        <v>0</v>
      </c>
      <c r="M36" s="4">
        <f>'Base de données indicateurs1'!M30</f>
        <v>0</v>
      </c>
      <c r="N36" s="4">
        <f>'Base de données indicateurs1'!N30</f>
        <v>0</v>
      </c>
      <c r="O36" s="4">
        <f>'Base de données indicateurs1'!O30</f>
        <v>15247.55</v>
      </c>
      <c r="P36" s="4">
        <f>'Base de données indicateurs1'!P30</f>
        <v>0</v>
      </c>
      <c r="Q36" s="4">
        <f>'Base de données indicateurs1'!Q30</f>
        <v>0</v>
      </c>
      <c r="R36" s="4">
        <f>'Base de données indicateurs1'!R30</f>
        <v>0</v>
      </c>
      <c r="S36" s="4">
        <f>'Base de données indicateurs1'!S30</f>
        <v>0</v>
      </c>
      <c r="T36" s="4">
        <f>'Base de données indicateurs1'!T30</f>
        <v>0</v>
      </c>
      <c r="U36" s="4">
        <f>'Base de données indicateurs1'!U30</f>
        <v>0</v>
      </c>
      <c r="V36" s="4">
        <f>'Base de données indicateurs1'!V30</f>
        <v>0</v>
      </c>
      <c r="W36" s="4">
        <f>'Base de données indicateurs1'!W30</f>
        <v>0</v>
      </c>
      <c r="X36" s="4">
        <f>'Base de données indicateurs1'!X30</f>
        <v>0</v>
      </c>
      <c r="Y36" s="4">
        <f>'Base de données indicateurs1'!Y30</f>
        <v>0</v>
      </c>
      <c r="Z36" s="4">
        <f>'Base de données indicateurs1'!Z30</f>
        <v>0</v>
      </c>
      <c r="AA36" s="4">
        <f>'Base de données indicateurs1'!AA30</f>
        <v>0</v>
      </c>
      <c r="AB36" s="4">
        <f>'Base de données indicateurs1'!AB30</f>
        <v>0</v>
      </c>
      <c r="AC36" s="4">
        <f>'Base de données indicateurs1'!AC30</f>
        <v>0</v>
      </c>
      <c r="AD36" s="4">
        <f>'Base de données indicateurs1'!AD30</f>
        <v>0</v>
      </c>
      <c r="AE36" s="4">
        <f>'Base de données indicateurs1'!AE30</f>
        <v>0</v>
      </c>
      <c r="AF36" s="4">
        <f>'Base de données indicateurs1'!AF30</f>
        <v>0</v>
      </c>
      <c r="AG36" s="4">
        <f>'Base de données indicateurs1'!AG30</f>
        <v>0</v>
      </c>
      <c r="AH36" s="4">
        <f>'Base de données indicateurs1'!AH30</f>
        <v>0</v>
      </c>
      <c r="AI36" s="4">
        <f>'Base de données indicateurs1'!AI30</f>
        <v>0</v>
      </c>
      <c r="AJ36" s="4">
        <f>'Base de données indicateurs1'!AJ30</f>
        <v>0</v>
      </c>
      <c r="AK36" s="4">
        <f>'Base de données indicateurs1'!AK30</f>
        <v>0</v>
      </c>
      <c r="AL36" s="4">
        <f>'Base de données indicateurs1'!AL30</f>
        <v>0</v>
      </c>
      <c r="AM36" s="4">
        <f>'Base de données indicateurs1'!AM30</f>
        <v>0</v>
      </c>
      <c r="AN36" s="4">
        <f>'Base de données indicateurs1'!AN30</f>
        <v>0</v>
      </c>
      <c r="AO36" s="4">
        <f>'Base de données indicateurs1'!AO30</f>
        <v>0</v>
      </c>
      <c r="AP36" s="4">
        <f>'Base de données indicateurs1'!AP30</f>
        <v>0</v>
      </c>
      <c r="AQ36" s="4">
        <f>'Base de données indicateurs1'!AQ30</f>
        <v>0</v>
      </c>
      <c r="AR36" s="4">
        <f>'Base de données indicateurs1'!AR30</f>
        <v>0</v>
      </c>
      <c r="AS36" s="4">
        <f>'Base de données indicateurs1'!AS30</f>
        <v>0</v>
      </c>
      <c r="AT36" s="4">
        <f>'Base de données indicateurs1'!AT30</f>
        <v>0</v>
      </c>
      <c r="AU36" s="4">
        <f>'Base de données indicateurs1'!AU30</f>
        <v>0</v>
      </c>
      <c r="AV36" s="4">
        <f>'Base de données indicateurs1'!AV30</f>
        <v>0</v>
      </c>
      <c r="AW36" s="4">
        <f>'Base de données indicateurs1'!AW30</f>
        <v>0</v>
      </c>
      <c r="AX36" s="4">
        <f>'Base de données indicateurs1'!AX30</f>
        <v>0</v>
      </c>
      <c r="AY36" s="4">
        <f>'Base de données indicateurs1'!AY30</f>
        <v>0</v>
      </c>
      <c r="AZ36" s="4">
        <f>'Base de données indicateurs1'!AZ30</f>
        <v>0</v>
      </c>
      <c r="BA36" s="4">
        <f>'Base de données indicateurs1'!BA30</f>
        <v>0</v>
      </c>
      <c r="BB36" s="4">
        <f>'Base de données indicateurs1'!BB30</f>
        <v>0</v>
      </c>
      <c r="BC36" s="4">
        <f>'Base de données indicateurs1'!BC30</f>
        <v>0</v>
      </c>
      <c r="BD36" s="4">
        <f>'Base de données indicateurs1'!BD30</f>
        <v>0</v>
      </c>
      <c r="BE36" s="4">
        <f>'Base de données indicateurs1'!BE30</f>
        <v>0</v>
      </c>
      <c r="BF36" s="4">
        <f t="shared" si="0"/>
        <v>15247.55</v>
      </c>
      <c r="BG36" s="4">
        <f t="shared" si="1"/>
        <v>0</v>
      </c>
      <c r="BH36" s="4">
        <f t="shared" si="2"/>
        <v>0</v>
      </c>
    </row>
    <row r="37" spans="1:60" x14ac:dyDescent="0.25">
      <c r="A37" s="114" t="s">
        <v>522</v>
      </c>
      <c r="B37" s="115" t="s">
        <v>231</v>
      </c>
      <c r="C37" s="114">
        <v>389</v>
      </c>
      <c r="D37" s="116">
        <f>'Base de données indicateurs1'!BF31</f>
        <v>5296393.62</v>
      </c>
      <c r="E37" s="4">
        <f>'Base de données indicateurs1'!E31</f>
        <v>320000</v>
      </c>
      <c r="F37" s="4">
        <f>'Base de données indicateurs1'!F31</f>
        <v>0</v>
      </c>
      <c r="G37" s="4">
        <f>'Base de données indicateurs1'!G31</f>
        <v>0</v>
      </c>
      <c r="H37" s="4">
        <f>'Base de données indicateurs1'!H31</f>
        <v>201.69</v>
      </c>
      <c r="I37" s="4">
        <f>'Base de données indicateurs1'!I31</f>
        <v>0</v>
      </c>
      <c r="J37" s="4">
        <f>'Base de données indicateurs1'!J31</f>
        <v>400000</v>
      </c>
      <c r="K37" s="4">
        <f>'Base de données indicateurs1'!K31</f>
        <v>0</v>
      </c>
      <c r="L37" s="4">
        <f>'Base de données indicateurs1'!L31</f>
        <v>0</v>
      </c>
      <c r="M37" s="4">
        <f>'Base de données indicateurs1'!M31</f>
        <v>0</v>
      </c>
      <c r="N37" s="4">
        <f>'Base de données indicateurs1'!N31</f>
        <v>0</v>
      </c>
      <c r="O37" s="4">
        <f>'Base de données indicateurs1'!O31</f>
        <v>0</v>
      </c>
      <c r="P37" s="4">
        <f>'Base de données indicateurs1'!P31</f>
        <v>8327.56</v>
      </c>
      <c r="Q37" s="4">
        <f>'Base de données indicateurs1'!Q31</f>
        <v>0</v>
      </c>
      <c r="R37" s="4">
        <f>'Base de données indicateurs1'!R31</f>
        <v>0</v>
      </c>
      <c r="S37" s="4">
        <f>'Base de données indicateurs1'!S31</f>
        <v>0</v>
      </c>
      <c r="T37" s="4">
        <f>'Base de données indicateurs1'!T31</f>
        <v>0</v>
      </c>
      <c r="U37" s="4">
        <f>'Base de données indicateurs1'!U31</f>
        <v>0</v>
      </c>
      <c r="V37" s="4">
        <f>'Base de données indicateurs1'!V31</f>
        <v>0</v>
      </c>
      <c r="W37" s="4">
        <f>'Base de données indicateurs1'!W31</f>
        <v>250000</v>
      </c>
      <c r="X37" s="4">
        <f>'Base de données indicateurs1'!X31</f>
        <v>70000</v>
      </c>
      <c r="Y37" s="4">
        <f>'Base de données indicateurs1'!Y31</f>
        <v>0</v>
      </c>
      <c r="Z37" s="4">
        <f>'Base de données indicateurs1'!Z31</f>
        <v>0</v>
      </c>
      <c r="AA37" s="4">
        <f>'Base de données indicateurs1'!AA31</f>
        <v>0</v>
      </c>
      <c r="AB37" s="4">
        <f>'Base de données indicateurs1'!AB31</f>
        <v>0</v>
      </c>
      <c r="AC37" s="4">
        <f>'Base de données indicateurs1'!AC31</f>
        <v>0</v>
      </c>
      <c r="AD37" s="4">
        <f>'Base de données indicateurs1'!AD31</f>
        <v>0</v>
      </c>
      <c r="AE37" s="4">
        <f>'Base de données indicateurs1'!AE31</f>
        <v>0</v>
      </c>
      <c r="AF37" s="4">
        <f>'Base de données indicateurs1'!AF31</f>
        <v>400000</v>
      </c>
      <c r="AG37" s="4">
        <f>'Base de données indicateurs1'!AG31</f>
        <v>0</v>
      </c>
      <c r="AH37" s="4">
        <f>'Base de données indicateurs1'!AH31</f>
        <v>150000</v>
      </c>
      <c r="AI37" s="4">
        <f>'Base de données indicateurs1'!AI31</f>
        <v>140000</v>
      </c>
      <c r="AJ37" s="4">
        <f>'Base de données indicateurs1'!AJ31</f>
        <v>0</v>
      </c>
      <c r="AK37" s="4">
        <f>'Base de données indicateurs1'!AK31</f>
        <v>0</v>
      </c>
      <c r="AL37" s="4">
        <f>'Base de données indicateurs1'!AL31</f>
        <v>148400</v>
      </c>
      <c r="AM37" s="4">
        <f>'Base de données indicateurs1'!AM31</f>
        <v>0</v>
      </c>
      <c r="AN37" s="4">
        <f>'Base de données indicateurs1'!AN31</f>
        <v>492.17</v>
      </c>
      <c r="AO37" s="4">
        <f>'Base de données indicateurs1'!AO31</f>
        <v>0</v>
      </c>
      <c r="AP37" s="4">
        <f>'Base de données indicateurs1'!AP31</f>
        <v>300000</v>
      </c>
      <c r="AQ37" s="4">
        <f>'Base de données indicateurs1'!AQ31</f>
        <v>100000</v>
      </c>
      <c r="AR37" s="4">
        <f>'Base de données indicateurs1'!AR31</f>
        <v>520000</v>
      </c>
      <c r="AS37" s="4">
        <f>'Base de données indicateurs1'!AS31</f>
        <v>0</v>
      </c>
      <c r="AT37" s="4">
        <f>'Base de données indicateurs1'!AT31</f>
        <v>0</v>
      </c>
      <c r="AU37" s="4">
        <f>'Base de données indicateurs1'!AU31</f>
        <v>826972.2</v>
      </c>
      <c r="AV37" s="4">
        <f>'Base de données indicateurs1'!AV31</f>
        <v>0</v>
      </c>
      <c r="AW37" s="4">
        <f>'Base de données indicateurs1'!AW31</f>
        <v>0</v>
      </c>
      <c r="AX37" s="4">
        <f>'Base de données indicateurs1'!AX31</f>
        <v>0</v>
      </c>
      <c r="AY37" s="4">
        <f>'Base de données indicateurs1'!AY31</f>
        <v>58000</v>
      </c>
      <c r="AZ37" s="4">
        <f>'Base de données indicateurs1'!AZ31</f>
        <v>150000</v>
      </c>
      <c r="BA37" s="4">
        <f>'Base de données indicateurs1'!BA31</f>
        <v>200000</v>
      </c>
      <c r="BB37" s="4">
        <f>'Base de données indicateurs1'!BB31</f>
        <v>454000</v>
      </c>
      <c r="BC37" s="4">
        <f>'Base de données indicateurs1'!BC31</f>
        <v>0</v>
      </c>
      <c r="BD37" s="4">
        <f>'Base de données indicateurs1'!BD31</f>
        <v>800000</v>
      </c>
      <c r="BE37" s="4">
        <f>'Base de données indicateurs1'!BE31</f>
        <v>0</v>
      </c>
      <c r="BF37" s="4">
        <f t="shared" si="0"/>
        <v>978529.25</v>
      </c>
      <c r="BG37" s="4">
        <f t="shared" si="1"/>
        <v>760000</v>
      </c>
      <c r="BH37" s="4">
        <f t="shared" si="2"/>
        <v>3557864.37</v>
      </c>
    </row>
    <row r="38" spans="1:60" x14ac:dyDescent="0.25">
      <c r="A38" s="114" t="s">
        <v>239</v>
      </c>
      <c r="B38" s="115" t="s">
        <v>232</v>
      </c>
      <c r="C38" s="114">
        <v>489</v>
      </c>
      <c r="D38" s="116">
        <f>'Base de données indicateurs1'!BF51</f>
        <v>2275423.12</v>
      </c>
      <c r="E38" s="4">
        <f>'Base de données indicateurs1'!E51</f>
        <v>0</v>
      </c>
      <c r="F38" s="4">
        <f>'Base de données indicateurs1'!F51</f>
        <v>0</v>
      </c>
      <c r="G38" s="4">
        <f>'Base de données indicateurs1'!G51</f>
        <v>0</v>
      </c>
      <c r="H38" s="4">
        <f>'Base de données indicateurs1'!H51</f>
        <v>0</v>
      </c>
      <c r="I38" s="4">
        <f>'Base de données indicateurs1'!I51</f>
        <v>300000</v>
      </c>
      <c r="J38" s="4">
        <f>'Base de données indicateurs1'!J51</f>
        <v>0</v>
      </c>
      <c r="K38" s="4">
        <f>'Base de données indicateurs1'!K51</f>
        <v>0</v>
      </c>
      <c r="L38" s="4">
        <f>'Base de données indicateurs1'!L51</f>
        <v>1100000</v>
      </c>
      <c r="M38" s="4">
        <f>'Base de données indicateurs1'!M51</f>
        <v>0</v>
      </c>
      <c r="N38" s="4">
        <f>'Base de données indicateurs1'!N51</f>
        <v>0</v>
      </c>
      <c r="O38" s="4">
        <f>'Base de données indicateurs1'!O51</f>
        <v>2478.3000000000002</v>
      </c>
      <c r="P38" s="4">
        <f>'Base de données indicateurs1'!P51</f>
        <v>0</v>
      </c>
      <c r="Q38" s="4">
        <f>'Base de données indicateurs1'!Q51</f>
        <v>20000</v>
      </c>
      <c r="R38" s="4">
        <f>'Base de données indicateurs1'!R51</f>
        <v>0</v>
      </c>
      <c r="S38" s="4">
        <f>'Base de données indicateurs1'!S51</f>
        <v>0</v>
      </c>
      <c r="T38" s="4">
        <f>'Base de données indicateurs1'!T51</f>
        <v>0</v>
      </c>
      <c r="U38" s="4">
        <f>'Base de données indicateurs1'!U51</f>
        <v>0</v>
      </c>
      <c r="V38" s="4">
        <f>'Base de données indicateurs1'!V51</f>
        <v>0</v>
      </c>
      <c r="W38" s="4">
        <f>'Base de données indicateurs1'!W51</f>
        <v>0</v>
      </c>
      <c r="X38" s="4">
        <f>'Base de données indicateurs1'!X51</f>
        <v>0</v>
      </c>
      <c r="Y38" s="4">
        <f>'Base de données indicateurs1'!Y51</f>
        <v>0</v>
      </c>
      <c r="Z38" s="4">
        <f>'Base de données indicateurs1'!Z51</f>
        <v>0</v>
      </c>
      <c r="AA38" s="4">
        <f>'Base de données indicateurs1'!AA51</f>
        <v>0</v>
      </c>
      <c r="AB38" s="4">
        <f>'Base de données indicateurs1'!AB51</f>
        <v>0</v>
      </c>
      <c r="AC38" s="4">
        <f>'Base de données indicateurs1'!AC51</f>
        <v>206471.32</v>
      </c>
      <c r="AD38" s="4">
        <f>'Base de données indicateurs1'!AD51</f>
        <v>151113.5</v>
      </c>
      <c r="AE38" s="4">
        <f>'Base de données indicateurs1'!AE51</f>
        <v>0</v>
      </c>
      <c r="AF38" s="4">
        <f>'Base de données indicateurs1'!AF51</f>
        <v>0</v>
      </c>
      <c r="AG38" s="4">
        <f>'Base de données indicateurs1'!AG51</f>
        <v>0</v>
      </c>
      <c r="AH38" s="4">
        <f>'Base de données indicateurs1'!AH51</f>
        <v>0</v>
      </c>
      <c r="AI38" s="4">
        <f>'Base de données indicateurs1'!AI51</f>
        <v>0</v>
      </c>
      <c r="AJ38" s="4">
        <f>'Base de données indicateurs1'!AJ51</f>
        <v>0</v>
      </c>
      <c r="AK38" s="4">
        <f>'Base de données indicateurs1'!AK51</f>
        <v>0</v>
      </c>
      <c r="AL38" s="4">
        <f>'Base de données indicateurs1'!AL51</f>
        <v>0</v>
      </c>
      <c r="AM38" s="4">
        <f>'Base de données indicateurs1'!AM51</f>
        <v>0</v>
      </c>
      <c r="AN38" s="4">
        <f>'Base de données indicateurs1'!AN51</f>
        <v>0</v>
      </c>
      <c r="AO38" s="4">
        <f>'Base de données indicateurs1'!AO51</f>
        <v>0</v>
      </c>
      <c r="AP38" s="4">
        <f>'Base de données indicateurs1'!AP51</f>
        <v>0</v>
      </c>
      <c r="AQ38" s="4">
        <f>'Base de données indicateurs1'!AQ51</f>
        <v>0</v>
      </c>
      <c r="AR38" s="4">
        <f>'Base de données indicateurs1'!AR51</f>
        <v>0</v>
      </c>
      <c r="AS38" s="4">
        <f>'Base de données indicateurs1'!AS51</f>
        <v>0</v>
      </c>
      <c r="AT38" s="4">
        <f>'Base de données indicateurs1'!AT51</f>
        <v>50000</v>
      </c>
      <c r="AU38" s="4">
        <f>'Base de données indicateurs1'!AU51</f>
        <v>0</v>
      </c>
      <c r="AV38" s="4">
        <f>'Base de données indicateurs1'!AV51</f>
        <v>425359</v>
      </c>
      <c r="AW38" s="4">
        <f>'Base de données indicateurs1'!AW51</f>
        <v>0</v>
      </c>
      <c r="AX38" s="4">
        <f>'Base de données indicateurs1'!AX51</f>
        <v>20000</v>
      </c>
      <c r="AY38" s="4">
        <f>'Base de données indicateurs1'!AY51</f>
        <v>0</v>
      </c>
      <c r="AZ38" s="4">
        <f>'Base de données indicateurs1'!AZ51</f>
        <v>0</v>
      </c>
      <c r="BA38" s="4">
        <f>'Base de données indicateurs1'!BA51</f>
        <v>0</v>
      </c>
      <c r="BB38" s="4">
        <f>'Base de données indicateurs1'!BB51</f>
        <v>0</v>
      </c>
      <c r="BC38" s="4">
        <f>'Base de données indicateurs1'!BC51</f>
        <v>1</v>
      </c>
      <c r="BD38" s="4">
        <f>'Base de données indicateurs1'!BD51</f>
        <v>0</v>
      </c>
      <c r="BE38" s="4">
        <f>'Base de données indicateurs1'!BE51</f>
        <v>0</v>
      </c>
      <c r="BF38" s="4">
        <f t="shared" si="0"/>
        <v>1422478.3</v>
      </c>
      <c r="BG38" s="4">
        <f t="shared" si="1"/>
        <v>357584.82</v>
      </c>
      <c r="BH38" s="4">
        <f t="shared" si="2"/>
        <v>495360</v>
      </c>
    </row>
    <row r="39" spans="1:60" x14ac:dyDescent="0.25">
      <c r="A39" s="114" t="s">
        <v>523</v>
      </c>
      <c r="B39" s="115" t="s">
        <v>232</v>
      </c>
      <c r="C39" s="114">
        <v>4490</v>
      </c>
      <c r="D39" s="116">
        <f>'Base de données indicateurs1'!BF46</f>
        <v>299999</v>
      </c>
      <c r="E39" s="4">
        <f>'Base de données indicateurs1'!E46</f>
        <v>0</v>
      </c>
      <c r="F39" s="4">
        <f>'Base de données indicateurs1'!F46</f>
        <v>0</v>
      </c>
      <c r="G39" s="4">
        <f>'Base de données indicateurs1'!G46</f>
        <v>0</v>
      </c>
      <c r="H39" s="4">
        <f>'Base de données indicateurs1'!H46</f>
        <v>0</v>
      </c>
      <c r="I39" s="4">
        <f>'Base de données indicateurs1'!I46</f>
        <v>0</v>
      </c>
      <c r="J39" s="4">
        <f>'Base de données indicateurs1'!J46</f>
        <v>0</v>
      </c>
      <c r="K39" s="4">
        <f>'Base de données indicateurs1'!K46</f>
        <v>0</v>
      </c>
      <c r="L39" s="4">
        <f>'Base de données indicateurs1'!L46</f>
        <v>0</v>
      </c>
      <c r="M39" s="4">
        <f>'Base de données indicateurs1'!M46</f>
        <v>0</v>
      </c>
      <c r="N39" s="4">
        <f>'Base de données indicateurs1'!N46</f>
        <v>0</v>
      </c>
      <c r="O39" s="4">
        <f>'Base de données indicateurs1'!O46</f>
        <v>0</v>
      </c>
      <c r="P39" s="4">
        <f>'Base de données indicateurs1'!P46</f>
        <v>0</v>
      </c>
      <c r="Q39" s="4">
        <f>'Base de données indicateurs1'!Q46</f>
        <v>0</v>
      </c>
      <c r="R39" s="4">
        <f>'Base de données indicateurs1'!R46</f>
        <v>0</v>
      </c>
      <c r="S39" s="4">
        <f>'Base de données indicateurs1'!S46</f>
        <v>0</v>
      </c>
      <c r="T39" s="4">
        <f>'Base de données indicateurs1'!T46</f>
        <v>0</v>
      </c>
      <c r="U39" s="4">
        <f>'Base de données indicateurs1'!U46</f>
        <v>0</v>
      </c>
      <c r="V39" s="4">
        <f>'Base de données indicateurs1'!V46</f>
        <v>0</v>
      </c>
      <c r="W39" s="4">
        <f>'Base de données indicateurs1'!W46</f>
        <v>0</v>
      </c>
      <c r="X39" s="4">
        <f>'Base de données indicateurs1'!X46</f>
        <v>0</v>
      </c>
      <c r="Y39" s="4">
        <f>'Base de données indicateurs1'!Y46</f>
        <v>0</v>
      </c>
      <c r="Z39" s="4">
        <f>'Base de données indicateurs1'!Z46</f>
        <v>0</v>
      </c>
      <c r="AA39" s="4">
        <f>'Base de données indicateurs1'!AA46</f>
        <v>0</v>
      </c>
      <c r="AB39" s="4">
        <f>'Base de données indicateurs1'!AB46</f>
        <v>0</v>
      </c>
      <c r="AC39" s="4">
        <f>'Base de données indicateurs1'!AC46</f>
        <v>0</v>
      </c>
      <c r="AD39" s="4">
        <f>'Base de données indicateurs1'!AD46</f>
        <v>0</v>
      </c>
      <c r="AE39" s="4">
        <f>'Base de données indicateurs1'!AE46</f>
        <v>0</v>
      </c>
      <c r="AF39" s="4">
        <f>'Base de données indicateurs1'!AF46</f>
        <v>0</v>
      </c>
      <c r="AG39" s="4">
        <f>'Base de données indicateurs1'!AG46</f>
        <v>0</v>
      </c>
      <c r="AH39" s="4">
        <f>'Base de données indicateurs1'!AH46</f>
        <v>0</v>
      </c>
      <c r="AI39" s="4">
        <f>'Base de données indicateurs1'!AI46</f>
        <v>0</v>
      </c>
      <c r="AJ39" s="4">
        <f>'Base de données indicateurs1'!AJ46</f>
        <v>0</v>
      </c>
      <c r="AK39" s="4">
        <f>'Base de données indicateurs1'!AK46</f>
        <v>0</v>
      </c>
      <c r="AL39" s="4">
        <f>'Base de données indicateurs1'!AL46</f>
        <v>0</v>
      </c>
      <c r="AM39" s="4">
        <f>'Base de données indicateurs1'!AM46</f>
        <v>0</v>
      </c>
      <c r="AN39" s="4">
        <f>'Base de données indicateurs1'!AN46</f>
        <v>0</v>
      </c>
      <c r="AO39" s="4">
        <f>'Base de données indicateurs1'!AO46</f>
        <v>0</v>
      </c>
      <c r="AP39" s="4">
        <f>'Base de données indicateurs1'!AP46</f>
        <v>0</v>
      </c>
      <c r="AQ39" s="4">
        <f>'Base de données indicateurs1'!AQ46</f>
        <v>0</v>
      </c>
      <c r="AR39" s="4">
        <f>'Base de données indicateurs1'!AR46</f>
        <v>0</v>
      </c>
      <c r="AS39" s="4">
        <f>'Base de données indicateurs1'!AS46</f>
        <v>0</v>
      </c>
      <c r="AT39" s="4">
        <f>'Base de données indicateurs1'!AT46</f>
        <v>0</v>
      </c>
      <c r="AU39" s="4">
        <f>'Base de données indicateurs1'!AU46</f>
        <v>0</v>
      </c>
      <c r="AV39" s="4">
        <f>'Base de données indicateurs1'!AV46</f>
        <v>299999</v>
      </c>
      <c r="AW39" s="4">
        <f>'Base de données indicateurs1'!AW46</f>
        <v>0</v>
      </c>
      <c r="AX39" s="4">
        <f>'Base de données indicateurs1'!AX46</f>
        <v>0</v>
      </c>
      <c r="AY39" s="4">
        <f>'Base de données indicateurs1'!AY46</f>
        <v>0</v>
      </c>
      <c r="AZ39" s="4">
        <f>'Base de données indicateurs1'!AZ46</f>
        <v>0</v>
      </c>
      <c r="BA39" s="4">
        <f>'Base de données indicateurs1'!BA46</f>
        <v>0</v>
      </c>
      <c r="BB39" s="4">
        <f>'Base de données indicateurs1'!BB46</f>
        <v>0</v>
      </c>
      <c r="BC39" s="4">
        <f>'Base de données indicateurs1'!BC46</f>
        <v>0</v>
      </c>
      <c r="BD39" s="4">
        <f>'Base de données indicateurs1'!BD46</f>
        <v>0</v>
      </c>
      <c r="BE39" s="4">
        <f>'Base de données indicateurs1'!BE46</f>
        <v>0</v>
      </c>
      <c r="BF39" s="4">
        <f t="shared" si="0"/>
        <v>0</v>
      </c>
      <c r="BG39" s="4">
        <f t="shared" si="1"/>
        <v>0</v>
      </c>
      <c r="BH39" s="4">
        <f t="shared" si="2"/>
        <v>299999</v>
      </c>
    </row>
    <row r="40" spans="1:60" ht="15.75" thickBot="1" x14ac:dyDescent="0.3">
      <c r="B40" s="121"/>
      <c r="D40" s="4"/>
      <c r="BF40" s="4"/>
      <c r="BG40" s="4"/>
      <c r="BH40" s="4"/>
    </row>
    <row r="41" spans="1:60" ht="15.75" thickBot="1" x14ac:dyDescent="0.3">
      <c r="A41" s="7" t="s">
        <v>524</v>
      </c>
      <c r="B41" s="64"/>
      <c r="C41" s="7"/>
      <c r="D41" s="120">
        <f>SUM(D30:D32,D34:D37)-SUM(D33,D38:D39)</f>
        <v>22485634.750000007</v>
      </c>
      <c r="E41" s="145">
        <f>SUM(E30:E32,E34:E37)-SUM(E33,E38:E39)</f>
        <v>832459.83000000007</v>
      </c>
      <c r="F41" s="129">
        <f t="shared" ref="F41:BE41" si="6">SUM(F30:F32,F34:F37)-SUM(F33,F38:F39)</f>
        <v>205445.28</v>
      </c>
      <c r="G41" s="129">
        <f t="shared" si="6"/>
        <v>-61794.959999999992</v>
      </c>
      <c r="H41" s="129">
        <f t="shared" si="6"/>
        <v>189395.1</v>
      </c>
      <c r="I41" s="129">
        <f t="shared" si="6"/>
        <v>164.30999999999767</v>
      </c>
      <c r="J41" s="129">
        <f t="shared" si="6"/>
        <v>1876600.28</v>
      </c>
      <c r="K41" s="129">
        <f t="shared" si="6"/>
        <v>486979.09000000008</v>
      </c>
      <c r="L41" s="129">
        <f t="shared" si="6"/>
        <v>1468726.6999999997</v>
      </c>
      <c r="M41" s="129">
        <f t="shared" si="6"/>
        <v>45022.169999999991</v>
      </c>
      <c r="N41" s="129">
        <f t="shared" si="6"/>
        <v>0</v>
      </c>
      <c r="O41" s="129">
        <f t="shared" si="6"/>
        <v>-408267.07000000007</v>
      </c>
      <c r="P41" s="129">
        <f t="shared" si="6"/>
        <v>66001.91</v>
      </c>
      <c r="Q41" s="129">
        <f t="shared" si="6"/>
        <v>-73417.52</v>
      </c>
      <c r="R41" s="129">
        <f t="shared" si="6"/>
        <v>64471.42</v>
      </c>
      <c r="S41" s="129">
        <f t="shared" si="6"/>
        <v>54478.63</v>
      </c>
      <c r="T41" s="129">
        <f t="shared" si="6"/>
        <v>181886.19</v>
      </c>
      <c r="U41" s="129">
        <f t="shared" si="6"/>
        <v>31257.25</v>
      </c>
      <c r="V41" s="129">
        <f t="shared" si="6"/>
        <v>-3983.6100000000151</v>
      </c>
      <c r="W41" s="129">
        <f t="shared" si="6"/>
        <v>1099927.6200000001</v>
      </c>
      <c r="X41" s="129">
        <f t="shared" si="6"/>
        <v>151103</v>
      </c>
      <c r="Y41" s="129">
        <f t="shared" si="6"/>
        <v>308378.78000000003</v>
      </c>
      <c r="Z41" s="129">
        <f t="shared" si="6"/>
        <v>3612940.13</v>
      </c>
      <c r="AA41" s="129">
        <f t="shared" si="6"/>
        <v>44754.25</v>
      </c>
      <c r="AB41" s="129">
        <f t="shared" si="6"/>
        <v>-9198.24</v>
      </c>
      <c r="AC41" s="129">
        <f t="shared" si="6"/>
        <v>-278712.08999999997</v>
      </c>
      <c r="AD41" s="129">
        <f t="shared" si="6"/>
        <v>-199633.86</v>
      </c>
      <c r="AE41" s="129">
        <f t="shared" si="6"/>
        <v>-49418.240000000013</v>
      </c>
      <c r="AF41" s="129">
        <f t="shared" si="6"/>
        <v>460433.87</v>
      </c>
      <c r="AG41" s="129">
        <f t="shared" si="6"/>
        <v>1326940.22</v>
      </c>
      <c r="AH41" s="129">
        <f t="shared" si="6"/>
        <v>1154249</v>
      </c>
      <c r="AI41" s="129">
        <f t="shared" si="6"/>
        <v>199878</v>
      </c>
      <c r="AJ41" s="129">
        <f t="shared" si="6"/>
        <v>-34242.9</v>
      </c>
      <c r="AK41" s="129">
        <f t="shared" si="6"/>
        <v>78262.3</v>
      </c>
      <c r="AL41" s="129">
        <f t="shared" si="6"/>
        <v>351169</v>
      </c>
      <c r="AM41" s="129">
        <f t="shared" si="6"/>
        <v>74800</v>
      </c>
      <c r="AN41" s="129">
        <f t="shared" si="6"/>
        <v>33942.740000000005</v>
      </c>
      <c r="AO41" s="129">
        <f t="shared" si="6"/>
        <v>654861.09</v>
      </c>
      <c r="AP41" s="129">
        <f t="shared" si="6"/>
        <v>552003.74</v>
      </c>
      <c r="AQ41" s="129">
        <f t="shared" si="6"/>
        <v>300994</v>
      </c>
      <c r="AR41" s="129">
        <f t="shared" si="6"/>
        <v>754497.03999999992</v>
      </c>
      <c r="AS41" s="129">
        <f t="shared" si="6"/>
        <v>183781.52</v>
      </c>
      <c r="AT41" s="129">
        <f t="shared" si="6"/>
        <v>51568.060000000012</v>
      </c>
      <c r="AU41" s="129">
        <f t="shared" si="6"/>
        <v>1356568</v>
      </c>
      <c r="AV41" s="129">
        <f t="shared" si="6"/>
        <v>-824702.74</v>
      </c>
      <c r="AW41" s="129">
        <f t="shared" si="6"/>
        <v>41052.320000000007</v>
      </c>
      <c r="AX41" s="129">
        <f t="shared" si="6"/>
        <v>1414.0600000000013</v>
      </c>
      <c r="AY41" s="129">
        <f t="shared" si="6"/>
        <v>225632.85</v>
      </c>
      <c r="AZ41" s="129">
        <f t="shared" si="6"/>
        <v>670622.73</v>
      </c>
      <c r="BA41" s="129">
        <f t="shared" si="6"/>
        <v>253173.4</v>
      </c>
      <c r="BB41" s="129">
        <f t="shared" si="6"/>
        <v>769502.15</v>
      </c>
      <c r="BC41" s="129">
        <f t="shared" si="6"/>
        <v>10198.42</v>
      </c>
      <c r="BD41" s="129">
        <f t="shared" si="6"/>
        <v>4085388.59</v>
      </c>
      <c r="BE41" s="129">
        <f t="shared" si="6"/>
        <v>118080.94</v>
      </c>
      <c r="BF41" s="4">
        <f t="shared" si="0"/>
        <v>6055352.620000001</v>
      </c>
      <c r="BG41" s="4">
        <f t="shared" si="1"/>
        <v>6687471.9199999999</v>
      </c>
      <c r="BH41" s="4">
        <f t="shared" si="2"/>
        <v>9742810.209999999</v>
      </c>
    </row>
    <row r="42" spans="1:60" x14ac:dyDescent="0.25">
      <c r="B42" s="121"/>
      <c r="D42" s="4"/>
      <c r="BF42" s="4"/>
      <c r="BG42" s="4"/>
      <c r="BH42" s="4"/>
    </row>
    <row r="43" spans="1:60" x14ac:dyDescent="0.25">
      <c r="A43" s="111" t="s">
        <v>525</v>
      </c>
      <c r="B43" s="112" t="s">
        <v>231</v>
      </c>
      <c r="C43" s="111">
        <v>690</v>
      </c>
      <c r="D43" s="113">
        <f>'Base de données indicateurs1'!BF58</f>
        <v>36707355.689999998</v>
      </c>
      <c r="E43" s="4">
        <f>'Base de données indicateurs1'!E58</f>
        <v>593862.55000000005</v>
      </c>
      <c r="F43" s="4">
        <f>'Base de données indicateurs1'!F58</f>
        <v>5186.8500000000004</v>
      </c>
      <c r="G43" s="4">
        <f>'Base de données indicateurs1'!G58</f>
        <v>2700857.55</v>
      </c>
      <c r="H43" s="4">
        <f>'Base de données indicateurs1'!H58</f>
        <v>225335</v>
      </c>
      <c r="I43" s="4">
        <f>'Base de données indicateurs1'!I58</f>
        <v>2251481</v>
      </c>
      <c r="J43" s="4">
        <f>'Base de données indicateurs1'!J58</f>
        <v>2280577.79</v>
      </c>
      <c r="K43" s="4">
        <f>'Base de données indicateurs1'!K58</f>
        <v>1266529.24</v>
      </c>
      <c r="L43" s="4">
        <f>'Base de données indicateurs1'!L58</f>
        <v>10477858.529999999</v>
      </c>
      <c r="M43" s="4">
        <f>'Base de données indicateurs1'!M58</f>
        <v>184436.45</v>
      </c>
      <c r="N43" s="4">
        <f>'Base de données indicateurs1'!N58</f>
        <v>41267.75</v>
      </c>
      <c r="O43" s="4">
        <f>'Base de données indicateurs1'!O58</f>
        <v>2081646.1</v>
      </c>
      <c r="P43" s="4">
        <f>'Base de données indicateurs1'!P58</f>
        <v>175184.23</v>
      </c>
      <c r="Q43" s="4">
        <f>'Base de données indicateurs1'!Q58</f>
        <v>0</v>
      </c>
      <c r="R43" s="4">
        <f>'Base de données indicateurs1'!R58</f>
        <v>15814</v>
      </c>
      <c r="S43" s="4">
        <f>'Base de données indicateurs1'!S58</f>
        <v>171236.7</v>
      </c>
      <c r="T43" s="4">
        <f>'Base de données indicateurs1'!T58</f>
        <v>217977.15</v>
      </c>
      <c r="U43" s="4">
        <f>'Base de données indicateurs1'!U58</f>
        <v>82785</v>
      </c>
      <c r="V43" s="4">
        <v>217980.51</v>
      </c>
      <c r="W43" s="4">
        <f>'Base de données indicateurs1'!W58</f>
        <v>1022304.45</v>
      </c>
      <c r="X43" s="4">
        <f>'Base de données indicateurs1'!X58</f>
        <v>65578.350000000006</v>
      </c>
      <c r="Y43" s="4">
        <f>'Base de données indicateurs1'!Y58</f>
        <v>128183.25</v>
      </c>
      <c r="Z43" s="4">
        <f>'Base de données indicateurs1'!Z58</f>
        <v>503623.38</v>
      </c>
      <c r="AA43" s="4">
        <f>'Base de données indicateurs1'!AA58</f>
        <v>0</v>
      </c>
      <c r="AB43" s="4">
        <f>'Base de données indicateurs1'!AB58</f>
        <v>64645.15</v>
      </c>
      <c r="AC43" s="4">
        <f>'Base de données indicateurs1'!AC58</f>
        <v>100268.8</v>
      </c>
      <c r="AD43" s="4">
        <f>'Base de données indicateurs1'!AD58</f>
        <v>144435.91</v>
      </c>
      <c r="AE43" s="4">
        <f>'Base de données indicateurs1'!AE58</f>
        <v>40403.800000000003</v>
      </c>
      <c r="AF43" s="4">
        <f>'Base de données indicateurs1'!AF58</f>
        <v>727420.4</v>
      </c>
      <c r="AG43" s="4">
        <f>'Base de données indicateurs1'!AG58</f>
        <v>678259.1</v>
      </c>
      <c r="AH43" s="4">
        <f>'Base de données indicateurs1'!AH58</f>
        <v>347396.95</v>
      </c>
      <c r="AI43" s="4">
        <f>'Base de données indicateurs1'!AI58</f>
        <v>0</v>
      </c>
      <c r="AJ43" s="4">
        <f>'Base de données indicateurs1'!AJ58</f>
        <v>0</v>
      </c>
      <c r="AK43" s="4">
        <f>'Base de données indicateurs1'!AK58</f>
        <v>1969762.48</v>
      </c>
      <c r="AL43" s="4">
        <f>'Base de données indicateurs1'!AL58</f>
        <v>373870</v>
      </c>
      <c r="AM43" s="4">
        <f>'Base de données indicateurs1'!AM58</f>
        <v>293387.90000000002</v>
      </c>
      <c r="AN43" s="4">
        <f>'Base de données indicateurs1'!AN58</f>
        <v>612014</v>
      </c>
      <c r="AO43" s="4">
        <f>'Base de données indicateurs1'!AO58</f>
        <v>858933.3</v>
      </c>
      <c r="AP43" s="4">
        <f>'Base de données indicateurs1'!AP58</f>
        <v>387302.1</v>
      </c>
      <c r="AQ43" s="4">
        <f>'Base de données indicateurs1'!AQ58</f>
        <v>49042.1</v>
      </c>
      <c r="AR43" s="4">
        <f>'Base de données indicateurs1'!AR58</f>
        <v>449074.2</v>
      </c>
      <c r="AS43" s="4">
        <f>'Base de données indicateurs1'!AS58</f>
        <v>71436</v>
      </c>
      <c r="AT43" s="4">
        <f>'Base de données indicateurs1'!AT58</f>
        <v>236030.35</v>
      </c>
      <c r="AU43" s="4">
        <f>'Base de données indicateurs1'!AU58</f>
        <v>290607.3</v>
      </c>
      <c r="AV43" s="4">
        <f>'Base de données indicateurs1'!AV58</f>
        <v>617598.75</v>
      </c>
      <c r="AW43" s="4">
        <f>'Base de données indicateurs1'!AW58</f>
        <v>57242.400000000001</v>
      </c>
      <c r="AX43" s="4">
        <f>'Base de données indicateurs1'!AX58</f>
        <v>0</v>
      </c>
      <c r="AY43" s="4">
        <f>'Base de données indicateurs1'!AY58</f>
        <v>0</v>
      </c>
      <c r="AZ43" s="4">
        <f>'Base de données indicateurs1'!AZ58</f>
        <v>0</v>
      </c>
      <c r="BA43" s="4">
        <f>'Base de données indicateurs1'!BA58</f>
        <v>176794.95</v>
      </c>
      <c r="BB43" s="4">
        <f>'Base de données indicateurs1'!BB58</f>
        <v>374230.1</v>
      </c>
      <c r="BC43" s="4">
        <f>'Base de données indicateurs1'!BC58</f>
        <v>0</v>
      </c>
      <c r="BD43" s="4">
        <f>'Base de données indicateurs1'!BD58</f>
        <v>2976255.58</v>
      </c>
      <c r="BE43" s="4">
        <f>'Base de données indicateurs1'!BE58</f>
        <v>6219.65</v>
      </c>
      <c r="BF43" s="4">
        <f t="shared" si="0"/>
        <v>24012320.849999998</v>
      </c>
      <c r="BG43" s="4">
        <f t="shared" si="1"/>
        <v>2800215.0900000003</v>
      </c>
      <c r="BH43" s="4">
        <f t="shared" si="2"/>
        <v>9799801.1599999983</v>
      </c>
    </row>
    <row r="44" spans="1:60" x14ac:dyDescent="0.25">
      <c r="A44" s="114" t="s">
        <v>526</v>
      </c>
      <c r="B44" s="115" t="s">
        <v>232</v>
      </c>
      <c r="C44" s="114">
        <v>590</v>
      </c>
      <c r="D44" s="116">
        <f>'Base de données indicateurs1'!BF61</f>
        <v>10997864.249999998</v>
      </c>
      <c r="E44" s="4">
        <f>'Base de données indicateurs1'!E61</f>
        <v>0</v>
      </c>
      <c r="F44" s="4">
        <f>'Base de données indicateurs1'!F61</f>
        <v>219058.75</v>
      </c>
      <c r="G44" s="4">
        <f>'Base de données indicateurs1'!G61</f>
        <v>1004384.3</v>
      </c>
      <c r="H44" s="4">
        <f>'Base de données indicateurs1'!H61</f>
        <v>299151.65000000002</v>
      </c>
      <c r="I44" s="4">
        <f>'Base de données indicateurs1'!I61</f>
        <v>125435</v>
      </c>
      <c r="J44" s="4">
        <f>'Base de données indicateurs1'!J61</f>
        <v>751645.2</v>
      </c>
      <c r="K44" s="4">
        <f>'Base de données indicateurs1'!K61</f>
        <v>0</v>
      </c>
      <c r="L44" s="4">
        <f>'Base de données indicateurs1'!L61</f>
        <v>551165</v>
      </c>
      <c r="M44" s="4">
        <f>'Base de données indicateurs1'!M61</f>
        <v>0</v>
      </c>
      <c r="N44" s="4">
        <f>'Base de données indicateurs1'!N61</f>
        <v>0</v>
      </c>
      <c r="O44" s="4">
        <f>'Base de données indicateurs1'!O61</f>
        <v>301809.8</v>
      </c>
      <c r="P44" s="4">
        <f>'Base de données indicateurs1'!P61</f>
        <v>144165</v>
      </c>
      <c r="Q44" s="4">
        <f>'Base de données indicateurs1'!Q61</f>
        <v>0</v>
      </c>
      <c r="R44" s="4">
        <f>'Base de données indicateurs1'!R61</f>
        <v>0</v>
      </c>
      <c r="S44" s="4">
        <f>'Base de données indicateurs1'!S61</f>
        <v>0</v>
      </c>
      <c r="T44" s="4">
        <f>'Base de données indicateurs1'!T61</f>
        <v>0</v>
      </c>
      <c r="U44" s="4">
        <f>'Base de données indicateurs1'!U61</f>
        <v>16988</v>
      </c>
      <c r="V44" s="4">
        <v>312999.09999999998</v>
      </c>
      <c r="W44" s="4">
        <f>'Base de données indicateurs1'!W61</f>
        <v>698023</v>
      </c>
      <c r="X44" s="4">
        <f>'Base de données indicateurs1'!X61</f>
        <v>0</v>
      </c>
      <c r="Y44" s="4">
        <f>'Base de données indicateurs1'!Y61</f>
        <v>1165367.05</v>
      </c>
      <c r="Z44" s="4">
        <f>'Base de données indicateurs1'!Z61</f>
        <v>0</v>
      </c>
      <c r="AA44" s="4">
        <f>'Base de données indicateurs1'!AA61</f>
        <v>0</v>
      </c>
      <c r="AB44" s="4">
        <f>'Base de données indicateurs1'!AB61</f>
        <v>154625</v>
      </c>
      <c r="AC44" s="4">
        <f>'Base de données indicateurs1'!AC61</f>
        <v>7475</v>
      </c>
      <c r="AD44" s="4">
        <f>'Base de données indicateurs1'!AD61</f>
        <v>27972.93</v>
      </c>
      <c r="AE44" s="4">
        <f>'Base de données indicateurs1'!AE61</f>
        <v>0</v>
      </c>
      <c r="AF44" s="4">
        <f>'Base de données indicateurs1'!AF61</f>
        <v>471042</v>
      </c>
      <c r="AG44" s="4">
        <f>'Base de données indicateurs1'!AG61</f>
        <v>275505.7</v>
      </c>
      <c r="AH44" s="4">
        <f>'Base de données indicateurs1'!AH61</f>
        <v>514990.01</v>
      </c>
      <c r="AI44" s="4">
        <f>'Base de données indicateurs1'!AI61</f>
        <v>0</v>
      </c>
      <c r="AJ44" s="4">
        <f>'Base de données indicateurs1'!AJ61</f>
        <v>0</v>
      </c>
      <c r="AK44" s="4">
        <f>'Base de données indicateurs1'!AK61</f>
        <v>0</v>
      </c>
      <c r="AL44" s="4">
        <f>'Base de données indicateurs1'!AL61</f>
        <v>0</v>
      </c>
      <c r="AM44" s="4">
        <f>'Base de données indicateurs1'!AM61</f>
        <v>58854.55</v>
      </c>
      <c r="AN44" s="4">
        <f>'Base de données indicateurs1'!AN61</f>
        <v>49260</v>
      </c>
      <c r="AO44" s="4">
        <f>'Base de données indicateurs1'!AO61</f>
        <v>5797</v>
      </c>
      <c r="AP44" s="4">
        <f>'Base de données indicateurs1'!AP61</f>
        <v>200300</v>
      </c>
      <c r="AQ44" s="4">
        <f>'Base de données indicateurs1'!AQ61</f>
        <v>9656</v>
      </c>
      <c r="AR44" s="4">
        <f>'Base de données indicateurs1'!AR61</f>
        <v>76707.75</v>
      </c>
      <c r="AS44" s="4">
        <f>'Base de données indicateurs1'!AS61</f>
        <v>53516</v>
      </c>
      <c r="AT44" s="4">
        <f>'Base de données indicateurs1'!AT61</f>
        <v>141767.04999999999</v>
      </c>
      <c r="AU44" s="4">
        <f>'Base de données indicateurs1'!AU61</f>
        <v>98690</v>
      </c>
      <c r="AV44" s="4">
        <f>'Base de données indicateurs1'!AV61</f>
        <v>4462.55</v>
      </c>
      <c r="AW44" s="4">
        <f>'Base de données indicateurs1'!AW61</f>
        <v>8708</v>
      </c>
      <c r="AX44" s="4">
        <f>'Base de données indicateurs1'!AX61</f>
        <v>0</v>
      </c>
      <c r="AY44" s="4">
        <f>'Base de données indicateurs1'!AY61</f>
        <v>0</v>
      </c>
      <c r="AZ44" s="4">
        <f>'Base de données indicateurs1'!AZ61</f>
        <v>0</v>
      </c>
      <c r="BA44" s="4">
        <f>'Base de données indicateurs1'!BA61</f>
        <v>65550</v>
      </c>
      <c r="BB44" s="4">
        <f>'Base de données indicateurs1'!BB61</f>
        <v>24304.35</v>
      </c>
      <c r="BC44" s="4">
        <f>'Base de données indicateurs1'!BC61</f>
        <v>0</v>
      </c>
      <c r="BD44" s="4">
        <f>'Base de données indicateurs1'!BD61</f>
        <v>3253507.1</v>
      </c>
      <c r="BE44" s="4">
        <f>'Base de données indicateurs1'!BE61</f>
        <v>0</v>
      </c>
      <c r="BF44" s="4">
        <f t="shared" si="0"/>
        <v>4424824.8000000007</v>
      </c>
      <c r="BG44" s="4">
        <f t="shared" si="1"/>
        <v>2616977.6900000004</v>
      </c>
      <c r="BH44" s="4">
        <f t="shared" si="2"/>
        <v>4051080.35</v>
      </c>
    </row>
    <row r="45" spans="1:60" ht="15.75" thickBot="1" x14ac:dyDescent="0.3">
      <c r="B45" s="110"/>
      <c r="D45" s="4"/>
      <c r="BF45" s="4"/>
      <c r="BG45" s="4"/>
      <c r="BH45" s="4"/>
    </row>
    <row r="46" spans="1:60" ht="15.75" thickBot="1" x14ac:dyDescent="0.3">
      <c r="A46" s="7" t="s">
        <v>225</v>
      </c>
      <c r="B46" s="125"/>
      <c r="C46" s="7"/>
      <c r="D46" s="120">
        <f>D43-D44</f>
        <v>25709491.439999998</v>
      </c>
      <c r="E46" s="4">
        <f>E43-E44</f>
        <v>593862.55000000005</v>
      </c>
      <c r="F46" s="4">
        <f t="shared" ref="F46:BE46" si="7">F43-F44</f>
        <v>-213871.9</v>
      </c>
      <c r="G46" s="4">
        <f t="shared" si="7"/>
        <v>1696473.2499999998</v>
      </c>
      <c r="H46" s="4">
        <f t="shared" si="7"/>
        <v>-73816.650000000023</v>
      </c>
      <c r="I46" s="4">
        <f t="shared" si="7"/>
        <v>2126046</v>
      </c>
      <c r="J46" s="4">
        <f t="shared" si="7"/>
        <v>1528932.59</v>
      </c>
      <c r="K46" s="4">
        <f t="shared" si="7"/>
        <v>1266529.24</v>
      </c>
      <c r="L46" s="4">
        <f t="shared" si="7"/>
        <v>9926693.5299999993</v>
      </c>
      <c r="M46" s="4">
        <f t="shared" si="7"/>
        <v>184436.45</v>
      </c>
      <c r="N46" s="4">
        <f t="shared" si="7"/>
        <v>41267.75</v>
      </c>
      <c r="O46" s="4">
        <f t="shared" si="7"/>
        <v>1779836.3</v>
      </c>
      <c r="P46" s="4">
        <f t="shared" si="7"/>
        <v>31019.23000000001</v>
      </c>
      <c r="Q46" s="4">
        <f t="shared" si="7"/>
        <v>0</v>
      </c>
      <c r="R46" s="4">
        <f t="shared" si="7"/>
        <v>15814</v>
      </c>
      <c r="S46" s="4">
        <f t="shared" si="7"/>
        <v>171236.7</v>
      </c>
      <c r="T46" s="4">
        <f t="shared" si="7"/>
        <v>217977.15</v>
      </c>
      <c r="U46" s="4">
        <f t="shared" si="7"/>
        <v>65797</v>
      </c>
      <c r="V46" s="4">
        <f t="shared" si="7"/>
        <v>-95018.589999999967</v>
      </c>
      <c r="W46" s="4">
        <f t="shared" si="7"/>
        <v>324281.44999999995</v>
      </c>
      <c r="X46" s="4">
        <f t="shared" si="7"/>
        <v>65578.350000000006</v>
      </c>
      <c r="Y46" s="4">
        <f t="shared" si="7"/>
        <v>-1037183.8</v>
      </c>
      <c r="Z46" s="4">
        <f t="shared" si="7"/>
        <v>503623.38</v>
      </c>
      <c r="AA46" s="4">
        <f t="shared" si="7"/>
        <v>0</v>
      </c>
      <c r="AB46" s="4">
        <f t="shared" si="7"/>
        <v>-89979.85</v>
      </c>
      <c r="AC46" s="4">
        <f t="shared" si="7"/>
        <v>92793.8</v>
      </c>
      <c r="AD46" s="4">
        <f t="shared" si="7"/>
        <v>116462.98000000001</v>
      </c>
      <c r="AE46" s="4">
        <f t="shared" si="7"/>
        <v>40403.800000000003</v>
      </c>
      <c r="AF46" s="4">
        <f t="shared" si="7"/>
        <v>256378.40000000002</v>
      </c>
      <c r="AG46" s="4">
        <f t="shared" si="7"/>
        <v>402753.39999999997</v>
      </c>
      <c r="AH46" s="4">
        <f t="shared" si="7"/>
        <v>-167593.06</v>
      </c>
      <c r="AI46" s="4">
        <f t="shared" si="7"/>
        <v>0</v>
      </c>
      <c r="AJ46" s="4">
        <f t="shared" si="7"/>
        <v>0</v>
      </c>
      <c r="AK46" s="4">
        <f t="shared" si="7"/>
        <v>1969762.48</v>
      </c>
      <c r="AL46" s="4">
        <f t="shared" si="7"/>
        <v>373870</v>
      </c>
      <c r="AM46" s="4">
        <f t="shared" si="7"/>
        <v>234533.35000000003</v>
      </c>
      <c r="AN46" s="4">
        <f t="shared" si="7"/>
        <v>562754</v>
      </c>
      <c r="AO46" s="4">
        <f t="shared" si="7"/>
        <v>853136.3</v>
      </c>
      <c r="AP46" s="4">
        <f t="shared" si="7"/>
        <v>187002.09999999998</v>
      </c>
      <c r="AQ46" s="4">
        <f t="shared" si="7"/>
        <v>39386.1</v>
      </c>
      <c r="AR46" s="4">
        <f t="shared" si="7"/>
        <v>372366.45</v>
      </c>
      <c r="AS46" s="4">
        <f t="shared" si="7"/>
        <v>17920</v>
      </c>
      <c r="AT46" s="4">
        <f t="shared" si="7"/>
        <v>94263.300000000017</v>
      </c>
      <c r="AU46" s="4">
        <f t="shared" si="7"/>
        <v>191917.3</v>
      </c>
      <c r="AV46" s="4">
        <f t="shared" si="7"/>
        <v>613136.19999999995</v>
      </c>
      <c r="AW46" s="4">
        <f t="shared" si="7"/>
        <v>48534.400000000001</v>
      </c>
      <c r="AX46" s="4">
        <f t="shared" si="7"/>
        <v>0</v>
      </c>
      <c r="AY46" s="4">
        <f t="shared" si="7"/>
        <v>0</v>
      </c>
      <c r="AZ46" s="4">
        <f t="shared" si="7"/>
        <v>0</v>
      </c>
      <c r="BA46" s="4">
        <f t="shared" si="7"/>
        <v>111244.95000000001</v>
      </c>
      <c r="BB46" s="4">
        <f t="shared" si="7"/>
        <v>349925.75</v>
      </c>
      <c r="BC46" s="4">
        <f t="shared" si="7"/>
        <v>0</v>
      </c>
      <c r="BD46" s="4">
        <f t="shared" si="7"/>
        <v>-277251.52</v>
      </c>
      <c r="BE46" s="4">
        <f t="shared" si="7"/>
        <v>6219.65</v>
      </c>
      <c r="BF46" s="4">
        <f t="shared" si="0"/>
        <v>19587496.049999997</v>
      </c>
      <c r="BG46" s="4">
        <f t="shared" si="1"/>
        <v>183237.39999999997</v>
      </c>
      <c r="BH46" s="4">
        <f t="shared" si="2"/>
        <v>5748720.8100000005</v>
      </c>
    </row>
    <row r="47" spans="1:60" ht="15.75" thickBot="1" x14ac:dyDescent="0.3">
      <c r="B47" s="110"/>
      <c r="D47" s="4"/>
      <c r="BF47" s="4"/>
      <c r="BG47" s="4"/>
      <c r="BH47" s="4"/>
    </row>
    <row r="48" spans="1:60" ht="15.75" thickBot="1" x14ac:dyDescent="0.3">
      <c r="A48" s="7" t="s">
        <v>527</v>
      </c>
      <c r="B48" s="125"/>
      <c r="C48" s="7"/>
      <c r="D48" s="120">
        <f>IF(D46&lt;&gt;0,D41/D46,"")*100</f>
        <v>87.460441613465107</v>
      </c>
      <c r="E48" s="144">
        <f>IF(E46&lt;&gt;0,E41/E46,"")*100</f>
        <v>140.17718914924001</v>
      </c>
      <c r="F48" s="126">
        <f t="shared" ref="F48:BH48" si="8">IF(F46&lt;&gt;0,F41/F46,"")*100</f>
        <v>-96.059968607376661</v>
      </c>
      <c r="G48" s="126">
        <f t="shared" si="8"/>
        <v>-3.6425543403056899</v>
      </c>
      <c r="H48" s="126">
        <f t="shared" si="8"/>
        <v>-256.5750409968482</v>
      </c>
      <c r="I48" s="126">
        <f t="shared" si="8"/>
        <v>7.7284310875680804E-3</v>
      </c>
      <c r="J48" s="126">
        <f t="shared" si="8"/>
        <v>122.73924254567692</v>
      </c>
      <c r="K48" s="126">
        <f t="shared" si="8"/>
        <v>38.449889242193898</v>
      </c>
      <c r="L48" s="126">
        <f t="shared" si="8"/>
        <v>14.795729268374016</v>
      </c>
      <c r="M48" s="126">
        <f t="shared" si="8"/>
        <v>24.410668281676422</v>
      </c>
      <c r="N48" s="126">
        <f t="shared" si="8"/>
        <v>0</v>
      </c>
      <c r="O48" s="126">
        <f>IF(O46&lt;&gt;0,O41/O46,"")*100</f>
        <v>-22.938461812471182</v>
      </c>
      <c r="P48" s="126">
        <f t="shared" si="8"/>
        <v>212.77739647309096</v>
      </c>
      <c r="Q48" s="126" t="e">
        <f t="shared" si="8"/>
        <v>#VALUE!</v>
      </c>
      <c r="R48" s="126">
        <f t="shared" si="8"/>
        <v>407.68572151258377</v>
      </c>
      <c r="S48" s="126">
        <f t="shared" si="8"/>
        <v>31.814809558932168</v>
      </c>
      <c r="T48" s="126">
        <f t="shared" si="8"/>
        <v>83.4427782912108</v>
      </c>
      <c r="U48" s="126">
        <f t="shared" si="8"/>
        <v>47.505585361034697</v>
      </c>
      <c r="V48" s="126">
        <f t="shared" si="8"/>
        <v>4.19245328729885</v>
      </c>
      <c r="W48" s="126">
        <f t="shared" si="8"/>
        <v>339.18918889748409</v>
      </c>
      <c r="X48" s="126">
        <f t="shared" si="8"/>
        <v>230.41598332376464</v>
      </c>
      <c r="Y48" s="126">
        <f t="shared" si="8"/>
        <v>-29.73231745424485</v>
      </c>
      <c r="Z48" s="126">
        <f>IF(Z46&lt;&gt;0,Z41/Z46,"")*100</f>
        <v>717.38927807521566</v>
      </c>
      <c r="AA48" s="126" t="e">
        <f t="shared" si="8"/>
        <v>#VALUE!</v>
      </c>
      <c r="AB48" s="126">
        <f t="shared" si="8"/>
        <v>10.222555383233022</v>
      </c>
      <c r="AC48" s="126">
        <f t="shared" si="8"/>
        <v>-300.3563707920141</v>
      </c>
      <c r="AD48" s="126">
        <f t="shared" si="8"/>
        <v>-171.4140064078731</v>
      </c>
      <c r="AE48" s="126">
        <f t="shared" si="8"/>
        <v>-122.31087174968694</v>
      </c>
      <c r="AF48" s="126">
        <f t="shared" si="8"/>
        <v>179.59152175066228</v>
      </c>
      <c r="AG48" s="126">
        <f t="shared" si="8"/>
        <v>329.4671677507875</v>
      </c>
      <c r="AH48" s="126">
        <f t="shared" si="8"/>
        <v>-688.72123941170355</v>
      </c>
      <c r="AI48" s="126" t="e">
        <f t="shared" si="8"/>
        <v>#VALUE!</v>
      </c>
      <c r="AJ48" s="126" t="e">
        <f t="shared" si="8"/>
        <v>#VALUE!</v>
      </c>
      <c r="AK48" s="126">
        <f t="shared" si="8"/>
        <v>3.9731846247777045</v>
      </c>
      <c r="AL48" s="126">
        <f t="shared" si="8"/>
        <v>93.928103351432313</v>
      </c>
      <c r="AM48" s="126">
        <f t="shared" si="8"/>
        <v>31.893118825105255</v>
      </c>
      <c r="AN48" s="126">
        <f t="shared" si="8"/>
        <v>6.0315413129004867</v>
      </c>
      <c r="AO48" s="126">
        <f t="shared" si="8"/>
        <v>76.759257577013187</v>
      </c>
      <c r="AP48" s="126">
        <f t="shared" si="8"/>
        <v>295.18585085408137</v>
      </c>
      <c r="AQ48" s="126">
        <f t="shared" si="8"/>
        <v>764.21377084809114</v>
      </c>
      <c r="AR48" s="126">
        <f t="shared" si="8"/>
        <v>202.6221857527712</v>
      </c>
      <c r="AS48" s="126">
        <f t="shared" si="8"/>
        <v>1025.5665178571428</v>
      </c>
      <c r="AT48" s="126">
        <f t="shared" si="8"/>
        <v>54.706402173486403</v>
      </c>
      <c r="AU48" s="126">
        <f t="shared" si="8"/>
        <v>706.85029437158619</v>
      </c>
      <c r="AV48" s="126">
        <f t="shared" si="8"/>
        <v>-134.50563512642054</v>
      </c>
      <c r="AW48" s="126">
        <f t="shared" si="8"/>
        <v>84.583965187578301</v>
      </c>
      <c r="AX48" s="126" t="e">
        <f t="shared" si="8"/>
        <v>#VALUE!</v>
      </c>
      <c r="AY48" s="126" t="e">
        <f t="shared" si="8"/>
        <v>#VALUE!</v>
      </c>
      <c r="AZ48" s="126" t="e">
        <f t="shared" si="8"/>
        <v>#VALUE!</v>
      </c>
      <c r="BA48" s="126">
        <f t="shared" si="8"/>
        <v>227.58192619080683</v>
      </c>
      <c r="BB48" s="126">
        <f t="shared" si="8"/>
        <v>219.90440829233057</v>
      </c>
      <c r="BC48" s="126" t="e">
        <f t="shared" si="8"/>
        <v>#VALUE!</v>
      </c>
      <c r="BD48" s="126">
        <f t="shared" si="8"/>
        <v>-1473.5315391598212</v>
      </c>
      <c r="BE48" s="126">
        <f t="shared" si="8"/>
        <v>1898.5142250769741</v>
      </c>
      <c r="BF48" s="126">
        <f t="shared" si="8"/>
        <v>30.914378257143294</v>
      </c>
      <c r="BG48" s="126">
        <f t="shared" si="8"/>
        <v>3649.621703866133</v>
      </c>
      <c r="BH48" s="126">
        <f t="shared" si="8"/>
        <v>169.47788094096012</v>
      </c>
    </row>
    <row r="49" spans="1:2" x14ac:dyDescent="0.25">
      <c r="A49" s="123" t="s">
        <v>528</v>
      </c>
      <c r="B49" s="110"/>
    </row>
    <row r="50" spans="1:2" x14ac:dyDescent="0.25">
      <c r="B50" s="110"/>
    </row>
  </sheetData>
  <mergeCells count="1">
    <mergeCell ref="A8:D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5:BH43"/>
  <sheetViews>
    <sheetView topLeftCell="A10" zoomScaleNormal="100" workbookViewId="0">
      <selection activeCell="BE40" sqref="BE4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5" spans="1:60" x14ac:dyDescent="0.25">
      <c r="B5" s="157"/>
    </row>
    <row r="8" spans="1:60" ht="18.75" x14ac:dyDescent="0.3">
      <c r="A8" s="191" t="s">
        <v>505</v>
      </c>
      <c r="B8" s="191"/>
      <c r="C8" s="191"/>
      <c r="D8" s="191"/>
    </row>
    <row r="10" spans="1:60" x14ac:dyDescent="0.25">
      <c r="A10" s="7" t="s">
        <v>529</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53">
        <f>'4.1 Comptes 2020 natures'!BG2</f>
        <v>38954</v>
      </c>
      <c r="BG10" s="153">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289</v>
      </c>
      <c r="B12" s="112" t="s">
        <v>231</v>
      </c>
      <c r="C12" s="111">
        <v>340</v>
      </c>
      <c r="D12" s="113">
        <f>'Base de données indicateurs1'!BF22</f>
        <v>5808716.3200000003</v>
      </c>
      <c r="E12" s="4">
        <f>'Base de données indicateurs1'!E22</f>
        <v>25957.09</v>
      </c>
      <c r="F12" s="4">
        <f>'Base de données indicateurs1'!F22</f>
        <v>34741.199999999997</v>
      </c>
      <c r="G12" s="4">
        <f>'Base de données indicateurs1'!G22</f>
        <v>63086.15</v>
      </c>
      <c r="H12" s="4">
        <f>'Base de données indicateurs1'!H22</f>
        <v>62822.720000000001</v>
      </c>
      <c r="I12" s="4">
        <f>'Base de données indicateurs1'!I22</f>
        <v>313671</v>
      </c>
      <c r="J12" s="4">
        <f>'Base de données indicateurs1'!J22</f>
        <v>230949.12</v>
      </c>
      <c r="K12" s="4">
        <f>'Base de données indicateurs1'!K22</f>
        <v>94301.96</v>
      </c>
      <c r="L12" s="4">
        <f>'Base de données indicateurs1'!L22</f>
        <v>1098788.75</v>
      </c>
      <c r="M12" s="4">
        <f>'Base de données indicateurs1'!M22</f>
        <v>52189.760000000002</v>
      </c>
      <c r="N12" s="4">
        <f>'Base de données indicateurs1'!N22</f>
        <v>0</v>
      </c>
      <c r="O12" s="4">
        <f>'Base de données indicateurs1'!O22</f>
        <v>281598.65000000002</v>
      </c>
      <c r="P12" s="4">
        <f>'Base de données indicateurs1'!P22</f>
        <v>39215.760000000002</v>
      </c>
      <c r="Q12" s="4">
        <f>'Base de données indicateurs1'!Q22</f>
        <v>9095.5300000000007</v>
      </c>
      <c r="R12" s="4">
        <f>'Base de données indicateurs1'!R22</f>
        <v>36877.370000000003</v>
      </c>
      <c r="S12" s="4">
        <f>'Base de données indicateurs1'!S22</f>
        <v>56844.93</v>
      </c>
      <c r="T12" s="4">
        <f>'Base de données indicateurs1'!T22</f>
        <v>52274.2</v>
      </c>
      <c r="U12" s="4">
        <f>'Base de données indicateurs1'!U22</f>
        <v>5116.74</v>
      </c>
      <c r="V12" s="4">
        <f>'Base de données indicateurs1'!V22</f>
        <v>54207.25</v>
      </c>
      <c r="W12" s="4">
        <f>'Base de données indicateurs1'!W22</f>
        <v>194511.55</v>
      </c>
      <c r="X12" s="4">
        <f>'Base de données indicateurs1'!X22</f>
        <v>1027</v>
      </c>
      <c r="Y12" s="4">
        <f>'Base de données indicateurs1'!Y22</f>
        <v>161777.70000000001</v>
      </c>
      <c r="Z12" s="4">
        <f>'Base de données indicateurs1'!Z22</f>
        <v>12098.93</v>
      </c>
      <c r="AA12" s="4">
        <f>'Base de données indicateurs1'!AA22</f>
        <v>4856</v>
      </c>
      <c r="AB12" s="4">
        <f>'Base de données indicateurs1'!AB22</f>
        <v>3291.6</v>
      </c>
      <c r="AC12" s="4">
        <f>'Base de données indicateurs1'!AC22</f>
        <v>30053.56</v>
      </c>
      <c r="AD12" s="4">
        <f>'Base de données indicateurs1'!AD22</f>
        <v>97145.66</v>
      </c>
      <c r="AE12" s="4">
        <f>'Base de données indicateurs1'!AE22</f>
        <v>38160.71</v>
      </c>
      <c r="AF12" s="4">
        <f>'Base de données indicateurs1'!AF22</f>
        <v>2733</v>
      </c>
      <c r="AG12" s="4">
        <f>'Base de données indicateurs1'!AG22</f>
        <v>88080.1</v>
      </c>
      <c r="AH12" s="4">
        <f>'Base de données indicateurs1'!AH22</f>
        <v>187345</v>
      </c>
      <c r="AI12" s="4">
        <f>'Base de données indicateurs1'!AI22</f>
        <v>14551.37</v>
      </c>
      <c r="AJ12" s="4">
        <f>'Base de données indicateurs1'!AJ22</f>
        <v>4665.28</v>
      </c>
      <c r="AK12" s="4">
        <f>'Base de données indicateurs1'!AK22</f>
        <v>143147.37</v>
      </c>
      <c r="AL12" s="4">
        <f>'Base de données indicateurs1'!AL22</f>
        <v>114622</v>
      </c>
      <c r="AM12" s="4">
        <f>'Base de données indicateurs1'!AM22</f>
        <v>109327.4</v>
      </c>
      <c r="AN12" s="4">
        <f>'Base de données indicateurs1'!AN22</f>
        <v>0</v>
      </c>
      <c r="AO12" s="4">
        <f>'Base de données indicateurs1'!AO22</f>
        <v>71278.63</v>
      </c>
      <c r="AP12" s="4">
        <f>'Base de données indicateurs1'!AP22</f>
        <v>53670.15</v>
      </c>
      <c r="AQ12" s="4">
        <f>'Base de données indicateurs1'!AQ22</f>
        <v>47702</v>
      </c>
      <c r="AR12" s="4">
        <f>'Base de données indicateurs1'!AR22</f>
        <v>89632.52</v>
      </c>
      <c r="AS12" s="4">
        <f>'Base de données indicateurs1'!AS22</f>
        <v>75220.63</v>
      </c>
      <c r="AT12" s="4">
        <f>'Base de données indicateurs1'!AT22</f>
        <v>121767.45</v>
      </c>
      <c r="AU12" s="4">
        <f>'Base de données indicateurs1'!AU22</f>
        <v>23204.25</v>
      </c>
      <c r="AV12" s="4">
        <f>'Base de données indicateurs1'!AV22</f>
        <v>200299.78</v>
      </c>
      <c r="AW12" s="4">
        <f>'Base de données indicateurs1'!AW22</f>
        <v>47265.91</v>
      </c>
      <c r="AX12" s="4">
        <f>'Base de données indicateurs1'!AX22</f>
        <v>7348.8</v>
      </c>
      <c r="AY12" s="4">
        <f>'Base de données indicateurs1'!AY22</f>
        <v>16514.060000000001</v>
      </c>
      <c r="AZ12" s="4">
        <f>'Base de données indicateurs1'!AZ22</f>
        <v>317070.18</v>
      </c>
      <c r="BA12" s="4">
        <f>'Base de données indicateurs1'!BA22</f>
        <v>10122.76</v>
      </c>
      <c r="BB12" s="4">
        <f>'Base de données indicateurs1'!BB22</f>
        <v>91910.14</v>
      </c>
      <c r="BC12" s="4">
        <f>'Base de données indicateurs1'!BC22</f>
        <v>0</v>
      </c>
      <c r="BD12" s="4">
        <f>'Base de données indicateurs1'!BD22</f>
        <v>868835</v>
      </c>
      <c r="BE12" s="4">
        <f>'Base de données indicateurs1'!BE22</f>
        <v>47741.65</v>
      </c>
      <c r="BF12" s="4">
        <f>SUM(E12:W12)</f>
        <v>2706249.73</v>
      </c>
      <c r="BG12" s="4">
        <f>SUM(X12:AJ12)</f>
        <v>645785.91</v>
      </c>
      <c r="BH12" s="4">
        <f>SUM(AK12:BE12)</f>
        <v>2456680.6799999997</v>
      </c>
    </row>
    <row r="13" spans="1:60" x14ac:dyDescent="0.25">
      <c r="A13" s="114" t="s">
        <v>288</v>
      </c>
      <c r="B13" s="115" t="s">
        <v>232</v>
      </c>
      <c r="C13" s="114">
        <v>440</v>
      </c>
      <c r="D13" s="116">
        <f>'Base de données indicateurs1'!BF41</f>
        <v>2762183.310000001</v>
      </c>
      <c r="E13" s="4">
        <f>'Base de données indicateurs1'!E41</f>
        <v>23418.3</v>
      </c>
      <c r="F13" s="4">
        <f>'Base de données indicateurs1'!F41</f>
        <v>14462.33</v>
      </c>
      <c r="G13" s="4">
        <f>'Base de données indicateurs1'!G41</f>
        <v>8419.7000000000007</v>
      </c>
      <c r="H13" s="4">
        <f>'Base de données indicateurs1'!H41</f>
        <v>8186.86</v>
      </c>
      <c r="I13" s="4">
        <f>'Base de données indicateurs1'!I41</f>
        <v>153171</v>
      </c>
      <c r="J13" s="4">
        <f>'Base de données indicateurs1'!J41</f>
        <v>129767.64</v>
      </c>
      <c r="K13" s="4">
        <f>'Base de données indicateurs1'!K41</f>
        <v>41256.25</v>
      </c>
      <c r="L13" s="4">
        <f>'Base de données indicateurs1'!L41</f>
        <v>889346.59</v>
      </c>
      <c r="M13" s="4">
        <f>'Base de données indicateurs1'!M41</f>
        <v>40171.1</v>
      </c>
      <c r="N13" s="4">
        <f>'Base de données indicateurs1'!N41</f>
        <v>0</v>
      </c>
      <c r="O13" s="4">
        <f>'Base de données indicateurs1'!O41</f>
        <v>135941.74</v>
      </c>
      <c r="P13" s="4">
        <f>'Base de données indicateurs1'!P41</f>
        <v>9076.1</v>
      </c>
      <c r="Q13" s="4">
        <f>'Base de données indicateurs1'!Q41</f>
        <v>4220.45</v>
      </c>
      <c r="R13" s="4">
        <f>'Base de données indicateurs1'!R41</f>
        <v>158.27000000000001</v>
      </c>
      <c r="S13" s="4">
        <f>'Base de données indicateurs1'!S41</f>
        <v>6042.65</v>
      </c>
      <c r="T13" s="4">
        <f>'Base de données indicateurs1'!T41</f>
        <v>18851.05</v>
      </c>
      <c r="U13" s="4">
        <f>'Base de données indicateurs1'!U41</f>
        <v>6215.75</v>
      </c>
      <c r="V13" s="4">
        <f>'Base de données indicateurs1'!V41</f>
        <v>10386.93</v>
      </c>
      <c r="W13" s="4">
        <f>'Base de données indicateurs1'!W41</f>
        <v>79792.3</v>
      </c>
      <c r="X13" s="4">
        <f>'Base de données indicateurs1'!X41</f>
        <v>3271</v>
      </c>
      <c r="Y13" s="4">
        <f>'Base de données indicateurs1'!Y41</f>
        <v>41377.25</v>
      </c>
      <c r="Z13" s="4">
        <f>'Base de données indicateurs1'!Z41</f>
        <v>36248.74</v>
      </c>
      <c r="AA13" s="4">
        <f>'Base de données indicateurs1'!AA41</f>
        <v>562</v>
      </c>
      <c r="AB13" s="4">
        <f>'Base de données indicateurs1'!AB41</f>
        <v>2678</v>
      </c>
      <c r="AC13" s="4">
        <f>'Base de données indicateurs1'!AC41</f>
        <v>8518.5499999999993</v>
      </c>
      <c r="AD13" s="4">
        <f>'Base de données indicateurs1'!AD41</f>
        <v>115681.05</v>
      </c>
      <c r="AE13" s="4">
        <f>'Base de données indicateurs1'!AE41</f>
        <v>10361.08</v>
      </c>
      <c r="AF13" s="4">
        <f>'Base de données indicateurs1'!AF41</f>
        <v>296.7</v>
      </c>
      <c r="AG13" s="4">
        <f>'Base de données indicateurs1'!AG41</f>
        <v>29889.65</v>
      </c>
      <c r="AH13" s="4">
        <f>'Base de données indicateurs1'!AH41</f>
        <v>41227.97</v>
      </c>
      <c r="AI13" s="4">
        <f>'Base de données indicateurs1'!AI41</f>
        <v>12342.43</v>
      </c>
      <c r="AJ13" s="4">
        <f>'Base de données indicateurs1'!AJ41</f>
        <v>4175.1000000000004</v>
      </c>
      <c r="AK13" s="4">
        <f>'Base de données indicateurs1'!AK41</f>
        <v>105842.76</v>
      </c>
      <c r="AL13" s="4">
        <f>'Base de données indicateurs1'!AL41</f>
        <v>26934</v>
      </c>
      <c r="AM13" s="4">
        <f>'Base de données indicateurs1'!AM41</f>
        <v>42752.800000000003</v>
      </c>
      <c r="AN13" s="4">
        <f>'Base de données indicateurs1'!AN41</f>
        <v>6870.04</v>
      </c>
      <c r="AO13" s="4">
        <f>'Base de données indicateurs1'!AO41</f>
        <v>28354.12</v>
      </c>
      <c r="AP13" s="4">
        <f>'Base de données indicateurs1'!AP41</f>
        <v>25847.45</v>
      </c>
      <c r="AQ13" s="4">
        <f>'Base de données indicateurs1'!AQ41</f>
        <v>16980.400000000001</v>
      </c>
      <c r="AR13" s="4">
        <f>'Base de données indicateurs1'!AR41</f>
        <v>31166.18</v>
      </c>
      <c r="AS13" s="4">
        <f>'Base de données indicateurs1'!AS41</f>
        <v>43080.91</v>
      </c>
      <c r="AT13" s="4">
        <f>'Base de données indicateurs1'!AT41</f>
        <v>66001.039999999994</v>
      </c>
      <c r="AU13" s="4">
        <f>'Base de données indicateurs1'!AU41</f>
        <v>4916.3500000000004</v>
      </c>
      <c r="AV13" s="4">
        <f>'Base de données indicateurs1'!AV41</f>
        <v>51808.72</v>
      </c>
      <c r="AW13" s="4">
        <f>'Base de données indicateurs1'!AW41</f>
        <v>15471.29</v>
      </c>
      <c r="AX13" s="4">
        <f>'Base de données indicateurs1'!AX41</f>
        <v>3549.64</v>
      </c>
      <c r="AY13" s="4">
        <f>'Base de données indicateurs1'!AY41</f>
        <v>8404.1</v>
      </c>
      <c r="AZ13" s="4">
        <f>'Base de données indicateurs1'!AZ41</f>
        <v>52198.84</v>
      </c>
      <c r="BA13" s="4">
        <f>'Base de données indicateurs1'!BA41</f>
        <v>12193.98</v>
      </c>
      <c r="BB13" s="4">
        <f>'Base de données indicateurs1'!BB41</f>
        <v>38820</v>
      </c>
      <c r="BC13" s="4">
        <f>'Base de données indicateurs1'!BC41</f>
        <v>3699.85</v>
      </c>
      <c r="BD13" s="4">
        <f>'Base de données indicateurs1'!BD41</f>
        <v>268547.32</v>
      </c>
      <c r="BE13" s="4">
        <f>'Base de données indicateurs1'!BE41</f>
        <v>23228.99</v>
      </c>
      <c r="BF13" s="4">
        <f t="shared" ref="BF13:BF38" si="0">SUM(E13:W13)</f>
        <v>1578885.01</v>
      </c>
      <c r="BG13" s="4">
        <f t="shared" ref="BG13:BG38" si="1">SUM(X13:AJ13)</f>
        <v>306629.51999999996</v>
      </c>
      <c r="BH13" s="4">
        <f t="shared" ref="BH13:BH38" si="2">SUM(AK13:BE13)</f>
        <v>876668.78</v>
      </c>
    </row>
    <row r="14" spans="1:60" ht="15.75" thickBot="1" x14ac:dyDescent="0.3">
      <c r="A14" s="117"/>
      <c r="B14" s="118"/>
      <c r="C14" s="117"/>
      <c r="D14" s="119"/>
      <c r="BF14" s="4"/>
      <c r="BG14" s="4"/>
      <c r="BH14" s="4"/>
    </row>
    <row r="15" spans="1:60" ht="15.75" thickBot="1" x14ac:dyDescent="0.3">
      <c r="A15" s="7" t="s">
        <v>530</v>
      </c>
      <c r="B15" s="64"/>
      <c r="C15" s="7"/>
      <c r="D15" s="120">
        <f>D12-D13</f>
        <v>3046533.0099999993</v>
      </c>
      <c r="E15" s="4">
        <f>E12-E13</f>
        <v>2538.7900000000009</v>
      </c>
      <c r="F15" s="4">
        <f t="shared" ref="F15:BE15" si="3">F12-F13</f>
        <v>20278.869999999995</v>
      </c>
      <c r="G15" s="4">
        <f t="shared" si="3"/>
        <v>54666.45</v>
      </c>
      <c r="H15" s="4">
        <f t="shared" si="3"/>
        <v>54635.86</v>
      </c>
      <c r="I15" s="4">
        <f t="shared" si="3"/>
        <v>160500</v>
      </c>
      <c r="J15" s="4">
        <f t="shared" si="3"/>
        <v>101181.48</v>
      </c>
      <c r="K15" s="4">
        <f t="shared" si="3"/>
        <v>53045.710000000006</v>
      </c>
      <c r="L15" s="4">
        <f t="shared" si="3"/>
        <v>209442.16000000003</v>
      </c>
      <c r="M15" s="4">
        <f t="shared" si="3"/>
        <v>12018.660000000003</v>
      </c>
      <c r="N15" s="4">
        <f t="shared" si="3"/>
        <v>0</v>
      </c>
      <c r="O15" s="4">
        <f t="shared" si="3"/>
        <v>145656.91000000003</v>
      </c>
      <c r="P15" s="4">
        <f t="shared" si="3"/>
        <v>30139.660000000003</v>
      </c>
      <c r="Q15" s="4">
        <f t="shared" si="3"/>
        <v>4875.0800000000008</v>
      </c>
      <c r="R15" s="4">
        <f t="shared" si="3"/>
        <v>36719.100000000006</v>
      </c>
      <c r="S15" s="4">
        <f t="shared" si="3"/>
        <v>50802.28</v>
      </c>
      <c r="T15" s="4">
        <f t="shared" si="3"/>
        <v>33423.149999999994</v>
      </c>
      <c r="U15" s="4">
        <f t="shared" si="3"/>
        <v>-1099.0100000000002</v>
      </c>
      <c r="V15" s="4">
        <f t="shared" si="3"/>
        <v>43820.32</v>
      </c>
      <c r="W15" s="4">
        <f t="shared" si="3"/>
        <v>114719.24999999999</v>
      </c>
      <c r="X15" s="4">
        <f t="shared" si="3"/>
        <v>-2244</v>
      </c>
      <c r="Y15" s="4">
        <f t="shared" si="3"/>
        <v>120400.45000000001</v>
      </c>
      <c r="Z15" s="4">
        <f t="shared" si="3"/>
        <v>-24149.809999999998</v>
      </c>
      <c r="AA15" s="4">
        <f t="shared" si="3"/>
        <v>4294</v>
      </c>
      <c r="AB15" s="4">
        <f t="shared" si="3"/>
        <v>613.59999999999991</v>
      </c>
      <c r="AC15" s="4">
        <f t="shared" si="3"/>
        <v>21535.010000000002</v>
      </c>
      <c r="AD15" s="4">
        <f t="shared" si="3"/>
        <v>-18535.39</v>
      </c>
      <c r="AE15" s="4">
        <f t="shared" si="3"/>
        <v>27799.629999999997</v>
      </c>
      <c r="AF15" s="4">
        <f t="shared" si="3"/>
        <v>2436.3000000000002</v>
      </c>
      <c r="AG15" s="4">
        <f t="shared" si="3"/>
        <v>58190.450000000004</v>
      </c>
      <c r="AH15" s="4">
        <f t="shared" si="3"/>
        <v>146117.03</v>
      </c>
      <c r="AI15" s="4">
        <f t="shared" si="3"/>
        <v>2208.9400000000005</v>
      </c>
      <c r="AJ15" s="4">
        <f t="shared" si="3"/>
        <v>490.17999999999938</v>
      </c>
      <c r="AK15" s="4">
        <f t="shared" si="3"/>
        <v>37304.61</v>
      </c>
      <c r="AL15" s="4">
        <f t="shared" si="3"/>
        <v>87688</v>
      </c>
      <c r="AM15" s="4">
        <f t="shared" si="3"/>
        <v>66574.599999999991</v>
      </c>
      <c r="AN15" s="4">
        <f t="shared" si="3"/>
        <v>-6870.04</v>
      </c>
      <c r="AO15" s="4">
        <f t="shared" si="3"/>
        <v>42924.510000000009</v>
      </c>
      <c r="AP15" s="4">
        <f t="shared" si="3"/>
        <v>27822.7</v>
      </c>
      <c r="AQ15" s="4">
        <f t="shared" si="3"/>
        <v>30721.599999999999</v>
      </c>
      <c r="AR15" s="4">
        <f t="shared" si="3"/>
        <v>58466.340000000004</v>
      </c>
      <c r="AS15" s="4">
        <f t="shared" si="3"/>
        <v>32139.72</v>
      </c>
      <c r="AT15" s="4">
        <f t="shared" si="3"/>
        <v>55766.41</v>
      </c>
      <c r="AU15" s="4">
        <f t="shared" si="3"/>
        <v>18287.900000000001</v>
      </c>
      <c r="AV15" s="4">
        <f t="shared" si="3"/>
        <v>148491.06</v>
      </c>
      <c r="AW15" s="4">
        <f t="shared" si="3"/>
        <v>31794.620000000003</v>
      </c>
      <c r="AX15" s="4">
        <f t="shared" si="3"/>
        <v>3799.1600000000003</v>
      </c>
      <c r="AY15" s="4">
        <f t="shared" si="3"/>
        <v>8109.9600000000009</v>
      </c>
      <c r="AZ15" s="4">
        <f t="shared" si="3"/>
        <v>264871.33999999997</v>
      </c>
      <c r="BA15" s="4">
        <f t="shared" si="3"/>
        <v>-2071.2199999999993</v>
      </c>
      <c r="BB15" s="4">
        <f t="shared" si="3"/>
        <v>53090.14</v>
      </c>
      <c r="BC15" s="4">
        <f t="shared" si="3"/>
        <v>-3699.85</v>
      </c>
      <c r="BD15" s="4">
        <f t="shared" si="3"/>
        <v>600287.67999999993</v>
      </c>
      <c r="BE15" s="4">
        <f t="shared" si="3"/>
        <v>24512.66</v>
      </c>
      <c r="BF15" s="4">
        <f t="shared" si="0"/>
        <v>1127364.72</v>
      </c>
      <c r="BG15" s="4">
        <f t="shared" si="1"/>
        <v>339156.39</v>
      </c>
      <c r="BH15" s="4">
        <f t="shared" si="2"/>
        <v>1580011.9000000001</v>
      </c>
    </row>
    <row r="16" spans="1:60" x14ac:dyDescent="0.25">
      <c r="B16" s="121"/>
      <c r="D16" s="4"/>
      <c r="BF16" s="4"/>
      <c r="BG16" s="4"/>
      <c r="BH16" s="4"/>
    </row>
    <row r="17" spans="1:60" x14ac:dyDescent="0.25">
      <c r="A17" s="111" t="s">
        <v>79</v>
      </c>
      <c r="B17" s="112" t="s">
        <v>231</v>
      </c>
      <c r="C17" s="111">
        <v>40</v>
      </c>
      <c r="D17" s="113">
        <f>'Base de données indicateurs1'!BF37</f>
        <v>218455372.60999998</v>
      </c>
      <c r="E17" s="4">
        <f>'Base de données indicateurs1'!E37</f>
        <v>3316356.05</v>
      </c>
      <c r="F17" s="4">
        <f>'Base de données indicateurs1'!F37</f>
        <v>739829.35</v>
      </c>
      <c r="G17" s="4">
        <f>'Base de données indicateurs1'!G37</f>
        <v>1154064.7</v>
      </c>
      <c r="H17" s="4">
        <f>'Base de données indicateurs1'!H37</f>
        <v>1062792.55</v>
      </c>
      <c r="I17" s="4">
        <f>'Base de données indicateurs1'!I37</f>
        <v>8115298</v>
      </c>
      <c r="J17" s="4">
        <f>'Base de données indicateurs1'!J37</f>
        <v>9445275.5500000007</v>
      </c>
      <c r="K17" s="4">
        <f>'Base de données indicateurs1'!K37</f>
        <v>7112250.3600000003</v>
      </c>
      <c r="L17" s="4">
        <f>'Base de données indicateurs1'!L37</f>
        <v>39079842.799999997</v>
      </c>
      <c r="M17" s="4">
        <f>'Base de données indicateurs1'!M37</f>
        <v>3480267.04</v>
      </c>
      <c r="N17" s="4">
        <f>'Base de données indicateurs1'!N37</f>
        <v>0</v>
      </c>
      <c r="O17" s="4">
        <f>'Base de données indicateurs1'!O37</f>
        <v>16475938</v>
      </c>
      <c r="P17" s="4">
        <f>'Base de données indicateurs1'!P37</f>
        <v>1259404.95</v>
      </c>
      <c r="Q17" s="4">
        <f>'Base de données indicateurs1'!Q37</f>
        <v>207655.7</v>
      </c>
      <c r="R17" s="4">
        <f>'Base de données indicateurs1'!R37</f>
        <v>1011482.65</v>
      </c>
      <c r="S17" s="4">
        <f>'Base de données indicateurs1'!S37</f>
        <v>722909.15</v>
      </c>
      <c r="T17" s="4">
        <f>'Base de données indicateurs1'!T37</f>
        <v>2005442.1</v>
      </c>
      <c r="U17" s="4">
        <f>'Base de données indicateurs1'!U37</f>
        <v>596548.80000000005</v>
      </c>
      <c r="V17" s="4">
        <f>'Base de données indicateurs1'!V37</f>
        <v>1358899.35</v>
      </c>
      <c r="W17" s="4">
        <f>'Base de données indicateurs1'!W37</f>
        <v>7646026.9000000004</v>
      </c>
      <c r="X17" s="4">
        <f>'Base de données indicateurs1'!X37</f>
        <v>848811</v>
      </c>
      <c r="Y17" s="4">
        <f>'Base de données indicateurs1'!Y37</f>
        <v>3758598.17</v>
      </c>
      <c r="Z17" s="4">
        <f>'Base de données indicateurs1'!Z37</f>
        <v>9945240.5</v>
      </c>
      <c r="AA17" s="4">
        <f>'Base de données indicateurs1'!AA37</f>
        <v>235146</v>
      </c>
      <c r="AB17" s="4">
        <f>'Base de données indicateurs1'!AB37</f>
        <v>289463.2</v>
      </c>
      <c r="AC17" s="4">
        <f>'Base de données indicateurs1'!AC37</f>
        <v>1246815.8500000001</v>
      </c>
      <c r="AD17" s="4">
        <f>'Base de données indicateurs1'!AD37</f>
        <v>1439744.55</v>
      </c>
      <c r="AE17" s="4">
        <f>'Base de données indicateurs1'!AE37</f>
        <v>1317292.6000000001</v>
      </c>
      <c r="AF17" s="4">
        <f>'Base de données indicateurs1'!AF37</f>
        <v>1892861.9</v>
      </c>
      <c r="AG17" s="4">
        <f>'Base de données indicateurs1'!AG37</f>
        <v>6916532.8499999996</v>
      </c>
      <c r="AH17" s="4">
        <f>'Base de données indicateurs1'!AH37</f>
        <v>7704002</v>
      </c>
      <c r="AI17" s="4">
        <f>'Base de données indicateurs1'!AI37</f>
        <v>522916.35</v>
      </c>
      <c r="AJ17" s="4">
        <f>'Base de données indicateurs1'!AJ37</f>
        <v>299937.8</v>
      </c>
      <c r="AK17" s="4">
        <f>'Base de données indicateurs1'!AK37</f>
        <v>5443392.9000000004</v>
      </c>
      <c r="AL17" s="4">
        <f>'Base de données indicateurs1'!AL37</f>
        <v>2482113.44</v>
      </c>
      <c r="AM17" s="4">
        <f>'Base de données indicateurs1'!AM37</f>
        <v>2964717.4</v>
      </c>
      <c r="AN17" s="4">
        <f>'Base de données indicateurs1'!AN37</f>
        <v>334540.34999999998</v>
      </c>
      <c r="AO17" s="4">
        <f>'Base de données indicateurs1'!AO37</f>
        <v>6870594.75</v>
      </c>
      <c r="AP17" s="4">
        <f>'Base de données indicateurs1'!AP37</f>
        <v>2024840.18</v>
      </c>
      <c r="AQ17" s="4">
        <f>'Base de données indicateurs1'!AQ37</f>
        <v>1951760</v>
      </c>
      <c r="AR17" s="4">
        <f>'Base de données indicateurs1'!AR37</f>
        <v>3379801.6</v>
      </c>
      <c r="AS17" s="4">
        <f>'Base de données indicateurs1'!AS37</f>
        <v>1748640.05</v>
      </c>
      <c r="AT17" s="4">
        <f>'Base de données indicateurs1'!AT37</f>
        <v>2441707.9500000002</v>
      </c>
      <c r="AU17" s="4">
        <f>'Base de données indicateurs1'!AU37</f>
        <v>2265017.35</v>
      </c>
      <c r="AV17" s="4">
        <f>'Base de données indicateurs1'!AV37</f>
        <v>6073809.8300000001</v>
      </c>
      <c r="AW17" s="4">
        <f>'Base de données indicateurs1'!AW37</f>
        <v>2202056.9</v>
      </c>
      <c r="AX17" s="4">
        <f>'Base de données indicateurs1'!AX37</f>
        <v>406157.7</v>
      </c>
      <c r="AY17" s="4">
        <f>'Base de données indicateurs1'!AY37</f>
        <v>902646.45</v>
      </c>
      <c r="AZ17" s="4">
        <f>'Base de données indicateurs1'!AZ37</f>
        <v>5009992.2</v>
      </c>
      <c r="BA17" s="4">
        <f>'Base de données indicateurs1'!BA37</f>
        <v>984706.9</v>
      </c>
      <c r="BB17" s="4">
        <f>'Base de données indicateurs1'!BB37</f>
        <v>3659638.59</v>
      </c>
      <c r="BC17" s="4">
        <f>'Base de données indicateurs1'!BC37</f>
        <v>341684.35</v>
      </c>
      <c r="BD17" s="4">
        <f>'Base de données indicateurs1'!BD37</f>
        <v>24686130.600000001</v>
      </c>
      <c r="BE17" s="4">
        <f>'Base de données indicateurs1'!BE37</f>
        <v>1073776.3500000001</v>
      </c>
      <c r="BF17" s="4">
        <f t="shared" si="0"/>
        <v>104790284.00000001</v>
      </c>
      <c r="BG17" s="4">
        <f t="shared" si="1"/>
        <v>36417362.769999996</v>
      </c>
      <c r="BH17" s="4">
        <f t="shared" si="2"/>
        <v>77247725.840000004</v>
      </c>
    </row>
    <row r="18" spans="1:60" x14ac:dyDescent="0.25">
      <c r="A18" s="114" t="s">
        <v>119</v>
      </c>
      <c r="B18" s="115" t="s">
        <v>232</v>
      </c>
      <c r="C18" s="114">
        <v>47</v>
      </c>
      <c r="D18" s="116">
        <f>'Base de données indicateurs1'!BF50</f>
        <v>1454430.2000000002</v>
      </c>
      <c r="E18" s="4">
        <f>'Base de données indicateurs1'!E50</f>
        <v>0</v>
      </c>
      <c r="F18" s="4">
        <f>'Base de données indicateurs1'!F50</f>
        <v>0</v>
      </c>
      <c r="G18" s="4">
        <f>'Base de données indicateurs1'!G50</f>
        <v>0</v>
      </c>
      <c r="H18" s="4">
        <f>'Base de données indicateurs1'!H50</f>
        <v>0</v>
      </c>
      <c r="I18" s="4">
        <f>'Base de données indicateurs1'!I50</f>
        <v>0</v>
      </c>
      <c r="J18" s="4">
        <f>'Base de données indicateurs1'!J50</f>
        <v>0</v>
      </c>
      <c r="K18" s="4">
        <f>'Base de données indicateurs1'!K50</f>
        <v>0</v>
      </c>
      <c r="L18" s="4">
        <f>'Base de données indicateurs1'!L50</f>
        <v>0</v>
      </c>
      <c r="M18" s="4">
        <f>'Base de données indicateurs1'!M50</f>
        <v>1665</v>
      </c>
      <c r="N18" s="4">
        <f>'Base de données indicateurs1'!N50</f>
        <v>0</v>
      </c>
      <c r="O18" s="4">
        <f>'Base de données indicateurs1'!O50</f>
        <v>0</v>
      </c>
      <c r="P18" s="4">
        <f>'Base de données indicateurs1'!P50</f>
        <v>0</v>
      </c>
      <c r="Q18" s="4">
        <f>'Base de données indicateurs1'!Q50</f>
        <v>0</v>
      </c>
      <c r="R18" s="4">
        <f>'Base de données indicateurs1'!R50</f>
        <v>0</v>
      </c>
      <c r="S18" s="4">
        <f>'Base de données indicateurs1'!S50</f>
        <v>0</v>
      </c>
      <c r="T18" s="4">
        <f>'Base de données indicateurs1'!T50</f>
        <v>0</v>
      </c>
      <c r="U18" s="4">
        <f>'Base de données indicateurs1'!U50</f>
        <v>0</v>
      </c>
      <c r="V18" s="4">
        <f>'Base de données indicateurs1'!V50</f>
        <v>0</v>
      </c>
      <c r="W18" s="4">
        <f>'Base de données indicateurs1'!W50</f>
        <v>0</v>
      </c>
      <c r="X18" s="4">
        <f>'Base de données indicateurs1'!X50</f>
        <v>0</v>
      </c>
      <c r="Y18" s="4">
        <f>'Base de données indicateurs1'!Y50</f>
        <v>0</v>
      </c>
      <c r="Z18" s="4">
        <f>'Base de données indicateurs1'!Z50</f>
        <v>428675.8</v>
      </c>
      <c r="AA18" s="4">
        <f>'Base de données indicateurs1'!AA50</f>
        <v>159491</v>
      </c>
      <c r="AB18" s="4">
        <f>'Base de données indicateurs1'!AB50</f>
        <v>0</v>
      </c>
      <c r="AC18" s="4">
        <f>'Base de données indicateurs1'!AC50</f>
        <v>155601.79999999999</v>
      </c>
      <c r="AD18" s="4">
        <f>'Base de données indicateurs1'!AD50</f>
        <v>0</v>
      </c>
      <c r="AE18" s="4">
        <f>'Base de données indicateurs1'!AE50</f>
        <v>0</v>
      </c>
      <c r="AF18" s="4">
        <f>'Base de données indicateurs1'!AF50</f>
        <v>570898.30000000005</v>
      </c>
      <c r="AG18" s="4">
        <f>'Base de données indicateurs1'!AG50</f>
        <v>0</v>
      </c>
      <c r="AH18" s="4">
        <f>'Base de données indicateurs1'!AH50</f>
        <v>0</v>
      </c>
      <c r="AI18" s="4">
        <f>'Base de données indicateurs1'!AI50</f>
        <v>1500</v>
      </c>
      <c r="AJ18" s="4">
        <f>'Base de données indicateurs1'!AJ50</f>
        <v>0</v>
      </c>
      <c r="AK18" s="4">
        <f>'Base de données indicateurs1'!AK50</f>
        <v>0</v>
      </c>
      <c r="AL18" s="4">
        <f>'Base de données indicateurs1'!AL50</f>
        <v>0</v>
      </c>
      <c r="AM18" s="4">
        <f>'Base de données indicateurs1'!AM50</f>
        <v>0</v>
      </c>
      <c r="AN18" s="4">
        <f>'Base de données indicateurs1'!AN50</f>
        <v>0</v>
      </c>
      <c r="AO18" s="4">
        <f>'Base de données indicateurs1'!AO50</f>
        <v>0</v>
      </c>
      <c r="AP18" s="4">
        <f>'Base de données indicateurs1'!AP50</f>
        <v>0</v>
      </c>
      <c r="AQ18" s="4">
        <f>'Base de données indicateurs1'!AQ50</f>
        <v>0</v>
      </c>
      <c r="AR18" s="4">
        <f>'Base de données indicateurs1'!AR50</f>
        <v>57050</v>
      </c>
      <c r="AS18" s="4">
        <f>'Base de données indicateurs1'!AS50</f>
        <v>0</v>
      </c>
      <c r="AT18" s="4">
        <f>'Base de données indicateurs1'!AT50</f>
        <v>0</v>
      </c>
      <c r="AU18" s="4">
        <f>'Base de données indicateurs1'!AU50</f>
        <v>0</v>
      </c>
      <c r="AV18" s="4">
        <f>'Base de données indicateurs1'!AV50</f>
        <v>79548.3</v>
      </c>
      <c r="AW18" s="4">
        <f>'Base de données indicateurs1'!AW50</f>
        <v>0</v>
      </c>
      <c r="AX18" s="4">
        <f>'Base de données indicateurs1'!AX50</f>
        <v>0</v>
      </c>
      <c r="AY18" s="4">
        <f>'Base de données indicateurs1'!AY50</f>
        <v>0</v>
      </c>
      <c r="AZ18" s="4">
        <f>'Base de données indicateurs1'!AZ50</f>
        <v>0</v>
      </c>
      <c r="BA18" s="4">
        <f>'Base de données indicateurs1'!BA50</f>
        <v>0</v>
      </c>
      <c r="BB18" s="4">
        <f>'Base de données indicateurs1'!BB50</f>
        <v>0</v>
      </c>
      <c r="BC18" s="4">
        <f>'Base de données indicateurs1'!BC50</f>
        <v>0</v>
      </c>
      <c r="BD18" s="4">
        <f>'Base de données indicateurs1'!BD50</f>
        <v>0</v>
      </c>
      <c r="BE18" s="4">
        <f>'Base de données indicateurs1'!BE50</f>
        <v>0</v>
      </c>
      <c r="BF18" s="4">
        <f t="shared" si="0"/>
        <v>1665</v>
      </c>
      <c r="BG18" s="4">
        <f t="shared" si="1"/>
        <v>1316166.9000000001</v>
      </c>
      <c r="BH18" s="4">
        <f t="shared" si="2"/>
        <v>136598.29999999999</v>
      </c>
    </row>
    <row r="19" spans="1:60" x14ac:dyDescent="0.25">
      <c r="A19" s="114" t="s">
        <v>128</v>
      </c>
      <c r="B19" s="115" t="s">
        <v>232</v>
      </c>
      <c r="C19" s="114">
        <v>49</v>
      </c>
      <c r="D19" s="116">
        <f>'Base de données indicateurs1'!BF53</f>
        <v>3674070.9800000004</v>
      </c>
      <c r="E19" s="4">
        <f>'Base de données indicateurs1'!E53</f>
        <v>0</v>
      </c>
      <c r="F19" s="4">
        <f>'Base de données indicateurs1'!F53</f>
        <v>31349.99</v>
      </c>
      <c r="G19" s="4">
        <f>'Base de données indicateurs1'!G53</f>
        <v>2814.4</v>
      </c>
      <c r="H19" s="4">
        <f>'Base de données indicateurs1'!H53</f>
        <v>31545.85</v>
      </c>
      <c r="I19" s="4">
        <f>'Base de données indicateurs1'!I53</f>
        <v>309300</v>
      </c>
      <c r="J19" s="4">
        <f>'Base de données indicateurs1'!J53</f>
        <v>59158</v>
      </c>
      <c r="K19" s="4">
        <f>'Base de données indicateurs1'!K53</f>
        <v>37587.75</v>
      </c>
      <c r="L19" s="4">
        <f>'Base de données indicateurs1'!L53</f>
        <v>1802641</v>
      </c>
      <c r="M19" s="4">
        <f>'Base de données indicateurs1'!M53</f>
        <v>99719.41</v>
      </c>
      <c r="N19" s="4">
        <f>'Base de données indicateurs1'!N53</f>
        <v>0</v>
      </c>
      <c r="O19" s="4">
        <f>'Base de données indicateurs1'!O53</f>
        <v>64560</v>
      </c>
      <c r="P19" s="4">
        <f>'Base de données indicateurs1'!P53</f>
        <v>35547.949999999997</v>
      </c>
      <c r="Q19" s="4">
        <f>'Base de données indicateurs1'!Q53</f>
        <v>0</v>
      </c>
      <c r="R19" s="4">
        <f>'Base de données indicateurs1'!R53</f>
        <v>22300</v>
      </c>
      <c r="S19" s="4">
        <f>'Base de données indicateurs1'!S53</f>
        <v>0</v>
      </c>
      <c r="T19" s="4">
        <f>'Base de données indicateurs1'!T53</f>
        <v>6500</v>
      </c>
      <c r="U19" s="4">
        <f>'Base de données indicateurs1'!U53</f>
        <v>0</v>
      </c>
      <c r="V19" s="4">
        <f>'Base de données indicateurs1'!V53</f>
        <v>60358.1</v>
      </c>
      <c r="W19" s="4">
        <f>'Base de données indicateurs1'!W53</f>
        <v>286000.15000000002</v>
      </c>
      <c r="X19" s="4">
        <f>'Base de données indicateurs1'!X53</f>
        <v>0</v>
      </c>
      <c r="Y19" s="4">
        <f>'Base de données indicateurs1'!Y53</f>
        <v>0</v>
      </c>
      <c r="Z19" s="4">
        <f>'Base de données indicateurs1'!Z53</f>
        <v>0</v>
      </c>
      <c r="AA19" s="4">
        <f>'Base de données indicateurs1'!AA53</f>
        <v>24713</v>
      </c>
      <c r="AB19" s="4">
        <f>'Base de données indicateurs1'!AB53</f>
        <v>3256</v>
      </c>
      <c r="AC19" s="4">
        <f>'Base de données indicateurs1'!AC53</f>
        <v>26841.7</v>
      </c>
      <c r="AD19" s="4">
        <f>'Base de données indicateurs1'!AD53</f>
        <v>120062.5</v>
      </c>
      <c r="AE19" s="4">
        <f>'Base de données indicateurs1'!AE53</f>
        <v>87127.35</v>
      </c>
      <c r="AF19" s="4">
        <f>'Base de données indicateurs1'!AF53</f>
        <v>69667.45</v>
      </c>
      <c r="AG19" s="4">
        <f>'Base de données indicateurs1'!AG53</f>
        <v>1500</v>
      </c>
      <c r="AH19" s="4">
        <f>'Base de données indicateurs1'!AH53</f>
        <v>28100</v>
      </c>
      <c r="AI19" s="4">
        <f>'Base de données indicateurs1'!AI53</f>
        <v>0</v>
      </c>
      <c r="AJ19" s="4">
        <f>'Base de données indicateurs1'!AJ53</f>
        <v>1051.1500000000001</v>
      </c>
      <c r="AK19" s="4">
        <f>'Base de données indicateurs1'!AK53</f>
        <v>16350</v>
      </c>
      <c r="AL19" s="4">
        <f>'Base de données indicateurs1'!AL53</f>
        <v>0</v>
      </c>
      <c r="AM19" s="4">
        <f>'Base de données indicateurs1'!AM53</f>
        <v>3700</v>
      </c>
      <c r="AN19" s="4">
        <f>'Base de données indicateurs1'!AN53</f>
        <v>0</v>
      </c>
      <c r="AO19" s="4">
        <f>'Base de données indicateurs1'!AO53</f>
        <v>41758.800000000003</v>
      </c>
      <c r="AP19" s="4">
        <f>'Base de données indicateurs1'!AP53</f>
        <v>93043.1</v>
      </c>
      <c r="AQ19" s="4">
        <f>'Base de données indicateurs1'!AQ53</f>
        <v>0</v>
      </c>
      <c r="AR19" s="4">
        <f>'Base de données indicateurs1'!AR53</f>
        <v>0</v>
      </c>
      <c r="AS19" s="4">
        <f>'Base de données indicateurs1'!AS53</f>
        <v>59398.05</v>
      </c>
      <c r="AT19" s="4">
        <f>'Base de données indicateurs1'!AT53</f>
        <v>0</v>
      </c>
      <c r="AU19" s="4">
        <f>'Base de données indicateurs1'!AU53</f>
        <v>10800</v>
      </c>
      <c r="AV19" s="4">
        <f>'Base de données indicateurs1'!AV53</f>
        <v>15863</v>
      </c>
      <c r="AW19" s="4">
        <f>'Base de données indicateurs1'!AW53</f>
        <v>0</v>
      </c>
      <c r="AX19" s="4">
        <f>'Base de données indicateurs1'!AX53</f>
        <v>7348.8</v>
      </c>
      <c r="AY19" s="4">
        <f>'Base de données indicateurs1'!AY53</f>
        <v>0</v>
      </c>
      <c r="AZ19" s="4">
        <f>'Base de données indicateurs1'!AZ53</f>
        <v>152452.6</v>
      </c>
      <c r="BA19" s="4">
        <f>'Base de données indicateurs1'!BA53</f>
        <v>0</v>
      </c>
      <c r="BB19" s="4">
        <f>'Base de données indicateurs1'!BB53</f>
        <v>46154.879999999997</v>
      </c>
      <c r="BC19" s="4">
        <f>'Base de données indicateurs1'!BC53</f>
        <v>0</v>
      </c>
      <c r="BD19" s="4">
        <f>'Base de données indicateurs1'!BD53</f>
        <v>0</v>
      </c>
      <c r="BE19" s="4">
        <f>'Base de données indicateurs1'!BE53</f>
        <v>15500</v>
      </c>
      <c r="BF19" s="4">
        <f t="shared" si="0"/>
        <v>2849382.6000000006</v>
      </c>
      <c r="BG19" s="4">
        <f t="shared" si="1"/>
        <v>362319.15</v>
      </c>
      <c r="BH19" s="4">
        <f t="shared" si="2"/>
        <v>462369.23</v>
      </c>
    </row>
    <row r="20" spans="1:60" x14ac:dyDescent="0.25">
      <c r="A20" s="114" t="s">
        <v>239</v>
      </c>
      <c r="B20" s="115" t="s">
        <v>232</v>
      </c>
      <c r="C20" s="122">
        <v>489</v>
      </c>
      <c r="D20" s="116">
        <f>'Base de données indicateurs1'!BF51</f>
        <v>2275423.12</v>
      </c>
      <c r="E20" s="4">
        <f>'Base de données indicateurs1'!E51</f>
        <v>0</v>
      </c>
      <c r="F20" s="4">
        <f>'Base de données indicateurs1'!F51</f>
        <v>0</v>
      </c>
      <c r="G20" s="4">
        <f>'Base de données indicateurs1'!G51</f>
        <v>0</v>
      </c>
      <c r="H20" s="4">
        <f>'Base de données indicateurs1'!H51</f>
        <v>0</v>
      </c>
      <c r="I20" s="4">
        <f>'Base de données indicateurs1'!I51</f>
        <v>300000</v>
      </c>
      <c r="J20" s="4">
        <f>'Base de données indicateurs1'!J51</f>
        <v>0</v>
      </c>
      <c r="K20" s="4">
        <f>'Base de données indicateurs1'!K51</f>
        <v>0</v>
      </c>
      <c r="L20" s="4">
        <f>'Base de données indicateurs1'!L51</f>
        <v>1100000</v>
      </c>
      <c r="M20" s="4">
        <f>'Base de données indicateurs1'!M51</f>
        <v>0</v>
      </c>
      <c r="N20" s="4">
        <f>'Base de données indicateurs1'!N51</f>
        <v>0</v>
      </c>
      <c r="O20" s="4">
        <f>'Base de données indicateurs1'!O51</f>
        <v>2478.3000000000002</v>
      </c>
      <c r="P20" s="4">
        <f>'Base de données indicateurs1'!P51</f>
        <v>0</v>
      </c>
      <c r="Q20" s="4">
        <f>'Base de données indicateurs1'!Q51</f>
        <v>20000</v>
      </c>
      <c r="R20" s="4">
        <f>'Base de données indicateurs1'!R51</f>
        <v>0</v>
      </c>
      <c r="S20" s="4">
        <f>'Base de données indicateurs1'!S51</f>
        <v>0</v>
      </c>
      <c r="T20" s="4">
        <f>'Base de données indicateurs1'!T51</f>
        <v>0</v>
      </c>
      <c r="U20" s="4">
        <f>'Base de données indicateurs1'!U51</f>
        <v>0</v>
      </c>
      <c r="V20" s="4">
        <f>'Base de données indicateurs1'!V51</f>
        <v>0</v>
      </c>
      <c r="W20" s="4">
        <f>'Base de données indicateurs1'!W51</f>
        <v>0</v>
      </c>
      <c r="X20" s="4">
        <f>'Base de données indicateurs1'!X51</f>
        <v>0</v>
      </c>
      <c r="Y20" s="4">
        <f>'Base de données indicateurs1'!Y51</f>
        <v>0</v>
      </c>
      <c r="Z20" s="4">
        <f>'Base de données indicateurs1'!Z51</f>
        <v>0</v>
      </c>
      <c r="AA20" s="4">
        <f>'Base de données indicateurs1'!AA51</f>
        <v>0</v>
      </c>
      <c r="AB20" s="4">
        <f>'Base de données indicateurs1'!AB51</f>
        <v>0</v>
      </c>
      <c r="AC20" s="4">
        <f>'Base de données indicateurs1'!AC51</f>
        <v>206471.32</v>
      </c>
      <c r="AD20" s="4">
        <f>'Base de données indicateurs1'!AD51</f>
        <v>151113.5</v>
      </c>
      <c r="AE20" s="4">
        <f>'Base de données indicateurs1'!AE51</f>
        <v>0</v>
      </c>
      <c r="AF20" s="4">
        <f>'Base de données indicateurs1'!AF51</f>
        <v>0</v>
      </c>
      <c r="AG20" s="4">
        <f>'Base de données indicateurs1'!AG51</f>
        <v>0</v>
      </c>
      <c r="AH20" s="4">
        <f>'Base de données indicateurs1'!AH51</f>
        <v>0</v>
      </c>
      <c r="AI20" s="4">
        <f>'Base de données indicateurs1'!AI51</f>
        <v>0</v>
      </c>
      <c r="AJ20" s="4">
        <f>'Base de données indicateurs1'!AJ51</f>
        <v>0</v>
      </c>
      <c r="AK20" s="4">
        <f>'Base de données indicateurs1'!AK51</f>
        <v>0</v>
      </c>
      <c r="AL20" s="4">
        <f>'Base de données indicateurs1'!AL51</f>
        <v>0</v>
      </c>
      <c r="AM20" s="4">
        <f>'Base de données indicateurs1'!AM51</f>
        <v>0</v>
      </c>
      <c r="AN20" s="4">
        <f>'Base de données indicateurs1'!AN51</f>
        <v>0</v>
      </c>
      <c r="AO20" s="4">
        <f>'Base de données indicateurs1'!AO51</f>
        <v>0</v>
      </c>
      <c r="AP20" s="4">
        <f>'Base de données indicateurs1'!AP51</f>
        <v>0</v>
      </c>
      <c r="AQ20" s="4">
        <f>'Base de données indicateurs1'!AQ51</f>
        <v>0</v>
      </c>
      <c r="AR20" s="4">
        <f>'Base de données indicateurs1'!AR51</f>
        <v>0</v>
      </c>
      <c r="AS20" s="4">
        <f>'Base de données indicateurs1'!AS51</f>
        <v>0</v>
      </c>
      <c r="AT20" s="4">
        <f>'Base de données indicateurs1'!AT51</f>
        <v>50000</v>
      </c>
      <c r="AU20" s="4">
        <f>'Base de données indicateurs1'!AU51</f>
        <v>0</v>
      </c>
      <c r="AV20" s="4">
        <f>'Base de données indicateurs1'!AV51</f>
        <v>425359</v>
      </c>
      <c r="AW20" s="4">
        <f>'Base de données indicateurs1'!AW51</f>
        <v>0</v>
      </c>
      <c r="AX20" s="4">
        <f>'Base de données indicateurs1'!AX51</f>
        <v>20000</v>
      </c>
      <c r="AY20" s="4">
        <f>'Base de données indicateurs1'!AY51</f>
        <v>0</v>
      </c>
      <c r="AZ20" s="4">
        <f>'Base de données indicateurs1'!AZ51</f>
        <v>0</v>
      </c>
      <c r="BA20" s="4">
        <f>'Base de données indicateurs1'!BA51</f>
        <v>0</v>
      </c>
      <c r="BB20" s="4">
        <f>'Base de données indicateurs1'!BB51</f>
        <v>0</v>
      </c>
      <c r="BC20" s="4">
        <f>'Base de données indicateurs1'!BC51</f>
        <v>1</v>
      </c>
      <c r="BD20" s="4">
        <f>'Base de données indicateurs1'!BD51</f>
        <v>0</v>
      </c>
      <c r="BE20" s="4">
        <f>'Base de données indicateurs1'!BE51</f>
        <v>0</v>
      </c>
      <c r="BF20" s="4">
        <f t="shared" si="0"/>
        <v>1422478.3</v>
      </c>
      <c r="BG20" s="4">
        <f t="shared" si="1"/>
        <v>357584.82</v>
      </c>
      <c r="BH20" s="4">
        <f t="shared" si="2"/>
        <v>495360</v>
      </c>
    </row>
    <row r="21" spans="1:60" x14ac:dyDescent="0.25">
      <c r="A21" s="114" t="s">
        <v>531</v>
      </c>
      <c r="B21" s="115" t="s">
        <v>231</v>
      </c>
      <c r="C21" s="114">
        <v>4896</v>
      </c>
      <c r="D21" s="116">
        <f>'Base de données indicateurs1'!BF52</f>
        <v>0</v>
      </c>
      <c r="E21" s="4">
        <f>'Base de données indicateurs1'!E52</f>
        <v>0</v>
      </c>
      <c r="F21" s="4">
        <f>'Base de données indicateurs1'!F52</f>
        <v>0</v>
      </c>
      <c r="G21" s="4">
        <f>'Base de données indicateurs1'!G52</f>
        <v>0</v>
      </c>
      <c r="H21" s="4">
        <f>'Base de données indicateurs1'!H52</f>
        <v>0</v>
      </c>
      <c r="I21" s="4">
        <f>'Base de données indicateurs1'!I52</f>
        <v>0</v>
      </c>
      <c r="J21" s="4">
        <f>'Base de données indicateurs1'!J52</f>
        <v>0</v>
      </c>
      <c r="K21" s="4">
        <f>'Base de données indicateurs1'!K52</f>
        <v>0</v>
      </c>
      <c r="L21" s="4">
        <f>'Base de données indicateurs1'!L52</f>
        <v>0</v>
      </c>
      <c r="M21" s="4">
        <f>'Base de données indicateurs1'!M52</f>
        <v>0</v>
      </c>
      <c r="N21" s="4">
        <f>'Base de données indicateurs1'!N52</f>
        <v>0</v>
      </c>
      <c r="O21" s="4">
        <f>'Base de données indicateurs1'!O52</f>
        <v>0</v>
      </c>
      <c r="P21" s="4">
        <f>'Base de données indicateurs1'!P52</f>
        <v>0</v>
      </c>
      <c r="Q21" s="4">
        <f>'Base de données indicateurs1'!Q52</f>
        <v>0</v>
      </c>
      <c r="R21" s="4">
        <f>'Base de données indicateurs1'!R52</f>
        <v>0</v>
      </c>
      <c r="S21" s="4">
        <f>'Base de données indicateurs1'!S52</f>
        <v>0</v>
      </c>
      <c r="T21" s="4">
        <f>'Base de données indicateurs1'!T52</f>
        <v>0</v>
      </c>
      <c r="U21" s="4">
        <f>'Base de données indicateurs1'!U52</f>
        <v>0</v>
      </c>
      <c r="V21" s="4">
        <f>'Base de données indicateurs1'!V52</f>
        <v>0</v>
      </c>
      <c r="W21" s="4">
        <f>'Base de données indicateurs1'!W52</f>
        <v>0</v>
      </c>
      <c r="X21" s="4">
        <f>'Base de données indicateurs1'!X52</f>
        <v>0</v>
      </c>
      <c r="Y21" s="4">
        <f>'Base de données indicateurs1'!Y52</f>
        <v>0</v>
      </c>
      <c r="Z21" s="4">
        <f>'Base de données indicateurs1'!Z52</f>
        <v>0</v>
      </c>
      <c r="AA21" s="4">
        <f>'Base de données indicateurs1'!AA52</f>
        <v>0</v>
      </c>
      <c r="AB21" s="4">
        <f>'Base de données indicateurs1'!AB52</f>
        <v>0</v>
      </c>
      <c r="AC21" s="4">
        <f>'Base de données indicateurs1'!AC52</f>
        <v>0</v>
      </c>
      <c r="AD21" s="4">
        <f>'Base de données indicateurs1'!AD52</f>
        <v>0</v>
      </c>
      <c r="AE21" s="4">
        <f>'Base de données indicateurs1'!AE52</f>
        <v>0</v>
      </c>
      <c r="AF21" s="4">
        <f>'Base de données indicateurs1'!AF52</f>
        <v>0</v>
      </c>
      <c r="AG21" s="4">
        <f>'Base de données indicateurs1'!AG52</f>
        <v>0</v>
      </c>
      <c r="AH21" s="4">
        <f>'Base de données indicateurs1'!AH52</f>
        <v>0</v>
      </c>
      <c r="AI21" s="4">
        <f>'Base de données indicateurs1'!AI52</f>
        <v>0</v>
      </c>
      <c r="AJ21" s="4">
        <f>'Base de données indicateurs1'!AJ52</f>
        <v>0</v>
      </c>
      <c r="AK21" s="4">
        <f>'Base de données indicateurs1'!AK52</f>
        <v>0</v>
      </c>
      <c r="AL21" s="4">
        <f>'Base de données indicateurs1'!AL52</f>
        <v>0</v>
      </c>
      <c r="AM21" s="4">
        <f>'Base de données indicateurs1'!AM52</f>
        <v>0</v>
      </c>
      <c r="AN21" s="4">
        <f>'Base de données indicateurs1'!AN52</f>
        <v>0</v>
      </c>
      <c r="AO21" s="4">
        <f>'Base de données indicateurs1'!AO52</f>
        <v>0</v>
      </c>
      <c r="AP21" s="4">
        <f>'Base de données indicateurs1'!AP52</f>
        <v>0</v>
      </c>
      <c r="AQ21" s="4">
        <f>'Base de données indicateurs1'!AQ52</f>
        <v>0</v>
      </c>
      <c r="AR21" s="4">
        <f>'Base de données indicateurs1'!AR52</f>
        <v>0</v>
      </c>
      <c r="AS21" s="4">
        <f>'Base de données indicateurs1'!AS52</f>
        <v>0</v>
      </c>
      <c r="AT21" s="4">
        <f>'Base de données indicateurs1'!AT52</f>
        <v>0</v>
      </c>
      <c r="AU21" s="4">
        <f>'Base de données indicateurs1'!AU52</f>
        <v>0</v>
      </c>
      <c r="AV21" s="4">
        <f>'Base de données indicateurs1'!AV52</f>
        <v>0</v>
      </c>
      <c r="AW21" s="4">
        <f>'Base de données indicateurs1'!AW52</f>
        <v>0</v>
      </c>
      <c r="AX21" s="4">
        <f>'Base de données indicateurs1'!AX52</f>
        <v>0</v>
      </c>
      <c r="AY21" s="4">
        <f>'Base de données indicateurs1'!AY52</f>
        <v>0</v>
      </c>
      <c r="AZ21" s="4">
        <f>'Base de données indicateurs1'!AZ52</f>
        <v>0</v>
      </c>
      <c r="BA21" s="4">
        <f>'Base de données indicateurs1'!BA52</f>
        <v>0</v>
      </c>
      <c r="BB21" s="4">
        <f>'Base de données indicateurs1'!BB52</f>
        <v>0</v>
      </c>
      <c r="BC21" s="4">
        <f>'Base de données indicateurs1'!BC52</f>
        <v>0</v>
      </c>
      <c r="BD21" s="4">
        <f>'Base de données indicateurs1'!BD52</f>
        <v>0</v>
      </c>
      <c r="BE21" s="4">
        <f>'Base de données indicateurs1'!BE52</f>
        <v>0</v>
      </c>
      <c r="BF21" s="4">
        <f t="shared" si="0"/>
        <v>0</v>
      </c>
      <c r="BG21" s="4">
        <f t="shared" si="1"/>
        <v>0</v>
      </c>
      <c r="BH21" s="4">
        <f t="shared" si="2"/>
        <v>0</v>
      </c>
    </row>
    <row r="22" spans="1:60" ht="15.75" thickBot="1" x14ac:dyDescent="0.3">
      <c r="A22" s="117"/>
      <c r="B22" s="118"/>
      <c r="C22" s="117"/>
      <c r="D22" s="119"/>
      <c r="BF22" s="4"/>
      <c r="BG22" s="4"/>
      <c r="BH22" s="4"/>
    </row>
    <row r="23" spans="1:60" ht="15.75" thickBot="1" x14ac:dyDescent="0.3">
      <c r="A23" s="7" t="s">
        <v>532</v>
      </c>
      <c r="B23" s="64"/>
      <c r="C23" s="7"/>
      <c r="D23" s="120">
        <f>SUM(D17,D21)-SUM(D18:D20)</f>
        <v>211051448.30999997</v>
      </c>
      <c r="E23" s="145">
        <f>SUM(E17,E21)-SUM(E18:E20)</f>
        <v>3316356.05</v>
      </c>
      <c r="F23" s="129">
        <f t="shared" ref="F23:BE23" si="4">SUM(F17,F21)-SUM(F18:F20)</f>
        <v>708479.36</v>
      </c>
      <c r="G23" s="129">
        <f t="shared" si="4"/>
        <v>1151250.3</v>
      </c>
      <c r="H23" s="129">
        <f t="shared" si="4"/>
        <v>1031246.7000000001</v>
      </c>
      <c r="I23" s="129">
        <f t="shared" si="4"/>
        <v>7505998</v>
      </c>
      <c r="J23" s="129">
        <f t="shared" si="4"/>
        <v>9386117.5500000007</v>
      </c>
      <c r="K23" s="129">
        <f t="shared" si="4"/>
        <v>7074662.6100000003</v>
      </c>
      <c r="L23" s="129">
        <f t="shared" si="4"/>
        <v>36177201.799999997</v>
      </c>
      <c r="M23" s="129">
        <f t="shared" si="4"/>
        <v>3378882.63</v>
      </c>
      <c r="N23" s="129">
        <f t="shared" si="4"/>
        <v>0</v>
      </c>
      <c r="O23" s="129">
        <f t="shared" si="4"/>
        <v>16408899.699999999</v>
      </c>
      <c r="P23" s="129">
        <f t="shared" si="4"/>
        <v>1223857</v>
      </c>
      <c r="Q23" s="129">
        <f t="shared" si="4"/>
        <v>187655.7</v>
      </c>
      <c r="R23" s="129">
        <f t="shared" si="4"/>
        <v>989182.65</v>
      </c>
      <c r="S23" s="129">
        <f t="shared" si="4"/>
        <v>722909.15</v>
      </c>
      <c r="T23" s="129">
        <f t="shared" si="4"/>
        <v>1998942.1</v>
      </c>
      <c r="U23" s="129">
        <f t="shared" si="4"/>
        <v>596548.80000000005</v>
      </c>
      <c r="V23" s="129">
        <f t="shared" si="4"/>
        <v>1298541.25</v>
      </c>
      <c r="W23" s="129">
        <f t="shared" si="4"/>
        <v>7360026.75</v>
      </c>
      <c r="X23" s="129">
        <f t="shared" si="4"/>
        <v>848811</v>
      </c>
      <c r="Y23" s="129">
        <f t="shared" si="4"/>
        <v>3758598.17</v>
      </c>
      <c r="Z23" s="129">
        <f t="shared" si="4"/>
        <v>9516564.6999999993</v>
      </c>
      <c r="AA23" s="129">
        <f t="shared" si="4"/>
        <v>50942</v>
      </c>
      <c r="AB23" s="129">
        <f t="shared" si="4"/>
        <v>286207.2</v>
      </c>
      <c r="AC23" s="129">
        <f t="shared" si="4"/>
        <v>857901.03</v>
      </c>
      <c r="AD23" s="129">
        <f t="shared" si="4"/>
        <v>1168568.55</v>
      </c>
      <c r="AE23" s="129">
        <f t="shared" si="4"/>
        <v>1230165.25</v>
      </c>
      <c r="AF23" s="129">
        <f t="shared" si="4"/>
        <v>1252296.1499999999</v>
      </c>
      <c r="AG23" s="129">
        <f t="shared" si="4"/>
        <v>6915032.8499999996</v>
      </c>
      <c r="AH23" s="129">
        <f t="shared" si="4"/>
        <v>7675902</v>
      </c>
      <c r="AI23" s="129">
        <f t="shared" si="4"/>
        <v>521416.35</v>
      </c>
      <c r="AJ23" s="129">
        <f t="shared" si="4"/>
        <v>298886.64999999997</v>
      </c>
      <c r="AK23" s="129">
        <f t="shared" si="4"/>
        <v>5427042.9000000004</v>
      </c>
      <c r="AL23" s="129">
        <f t="shared" si="4"/>
        <v>2482113.44</v>
      </c>
      <c r="AM23" s="129">
        <f t="shared" si="4"/>
        <v>2961017.4</v>
      </c>
      <c r="AN23" s="129">
        <f t="shared" si="4"/>
        <v>334540.34999999998</v>
      </c>
      <c r="AO23" s="129">
        <f t="shared" si="4"/>
        <v>6828835.9500000002</v>
      </c>
      <c r="AP23" s="129">
        <f t="shared" si="4"/>
        <v>1931797.0799999998</v>
      </c>
      <c r="AQ23" s="129">
        <f t="shared" si="4"/>
        <v>1951760</v>
      </c>
      <c r="AR23" s="129">
        <f t="shared" si="4"/>
        <v>3322751.6</v>
      </c>
      <c r="AS23" s="129">
        <f t="shared" si="4"/>
        <v>1689242</v>
      </c>
      <c r="AT23" s="129">
        <f t="shared" si="4"/>
        <v>2391707.9500000002</v>
      </c>
      <c r="AU23" s="129">
        <f t="shared" si="4"/>
        <v>2254217.35</v>
      </c>
      <c r="AV23" s="129">
        <f t="shared" si="4"/>
        <v>5553039.5300000003</v>
      </c>
      <c r="AW23" s="129">
        <f t="shared" si="4"/>
        <v>2202056.9</v>
      </c>
      <c r="AX23" s="129">
        <f t="shared" si="4"/>
        <v>378808.9</v>
      </c>
      <c r="AY23" s="129">
        <f t="shared" si="4"/>
        <v>902646.45</v>
      </c>
      <c r="AZ23" s="129">
        <f t="shared" si="4"/>
        <v>4857539.6000000006</v>
      </c>
      <c r="BA23" s="129">
        <f t="shared" si="4"/>
        <v>984706.9</v>
      </c>
      <c r="BB23" s="129">
        <f t="shared" si="4"/>
        <v>3613483.71</v>
      </c>
      <c r="BC23" s="129">
        <f t="shared" si="4"/>
        <v>341683.35</v>
      </c>
      <c r="BD23" s="129">
        <f t="shared" si="4"/>
        <v>24686130.600000001</v>
      </c>
      <c r="BE23" s="129">
        <f t="shared" si="4"/>
        <v>1058276.3500000001</v>
      </c>
      <c r="BF23" s="4">
        <f t="shared" si="0"/>
        <v>100516758.10000001</v>
      </c>
      <c r="BG23" s="4">
        <f t="shared" si="1"/>
        <v>34381291.899999999</v>
      </c>
      <c r="BH23" s="4">
        <f t="shared" si="2"/>
        <v>76153398.310000002</v>
      </c>
    </row>
    <row r="24" spans="1:60" ht="15.75" thickBot="1" x14ac:dyDescent="0.3">
      <c r="B24" s="121"/>
      <c r="D24" s="4"/>
      <c r="BF24" s="4"/>
      <c r="BG24" s="4"/>
      <c r="BH24" s="4"/>
    </row>
    <row r="25" spans="1:60" ht="15.75" thickBot="1" x14ac:dyDescent="0.3">
      <c r="A25" s="7" t="s">
        <v>533</v>
      </c>
      <c r="B25" s="121"/>
      <c r="D25" s="120">
        <f>IF(D23&lt;&gt;0,D15/D23,"")*100</f>
        <v>1.4435025366540681</v>
      </c>
      <c r="E25" s="145">
        <f>IF(E23&lt;&gt;0,E15/E23,"")*100</f>
        <v>7.6553601655648548E-2</v>
      </c>
      <c r="F25" s="129">
        <f t="shared" ref="F25:BH25" si="5">IF(F23&lt;&gt;0,F15/F23,"")*100</f>
        <v>2.862309213919795</v>
      </c>
      <c r="G25" s="129">
        <f t="shared" si="5"/>
        <v>4.7484417593637103</v>
      </c>
      <c r="H25" s="129">
        <f t="shared" si="5"/>
        <v>5.2980397416059608</v>
      </c>
      <c r="I25" s="129">
        <f t="shared" si="5"/>
        <v>2.138289938260042</v>
      </c>
      <c r="J25" s="129">
        <f t="shared" si="5"/>
        <v>1.0779907609403421</v>
      </c>
      <c r="K25" s="129">
        <f t="shared" si="5"/>
        <v>0.74979844162490739</v>
      </c>
      <c r="L25" s="129">
        <f t="shared" si="5"/>
        <v>0.57893410650682231</v>
      </c>
      <c r="M25" s="129">
        <f t="shared" si="5"/>
        <v>0.3556992448713735</v>
      </c>
      <c r="N25" s="129" t="e">
        <f t="shared" si="5"/>
        <v>#VALUE!</v>
      </c>
      <c r="O25" s="129">
        <f t="shared" si="5"/>
        <v>0.88767018302878675</v>
      </c>
      <c r="P25" s="129">
        <f t="shared" si="5"/>
        <v>2.4626782377352914</v>
      </c>
      <c r="Q25" s="129">
        <f t="shared" si="5"/>
        <v>2.5978853826449186</v>
      </c>
      <c r="R25" s="129">
        <f t="shared" si="5"/>
        <v>3.7120647031162552</v>
      </c>
      <c r="S25" s="129">
        <f t="shared" si="5"/>
        <v>7.0274777957921826</v>
      </c>
      <c r="T25" s="129">
        <f t="shared" si="5"/>
        <v>1.6720419265770625</v>
      </c>
      <c r="U25" s="129">
        <f t="shared" si="5"/>
        <v>-0.18422801286332319</v>
      </c>
      <c r="V25" s="129">
        <f t="shared" si="5"/>
        <v>3.3745805148662011</v>
      </c>
      <c r="W25" s="129">
        <f t="shared" si="5"/>
        <v>1.5586797969178576</v>
      </c>
      <c r="X25" s="129">
        <f t="shared" si="5"/>
        <v>-0.26436980670608651</v>
      </c>
      <c r="Y25" s="129">
        <f t="shared" si="5"/>
        <v>3.2033339174429494</v>
      </c>
      <c r="Z25" s="129">
        <f t="shared" si="5"/>
        <v>-0.25376604648103745</v>
      </c>
      <c r="AA25" s="129">
        <f t="shared" si="5"/>
        <v>8.4291939853166333</v>
      </c>
      <c r="AB25" s="129">
        <f t="shared" si="5"/>
        <v>0.21439013414058061</v>
      </c>
      <c r="AC25" s="129">
        <f t="shared" si="5"/>
        <v>2.5101974758090688</v>
      </c>
      <c r="AD25" s="129">
        <f t="shared" si="5"/>
        <v>-1.5861619756923973</v>
      </c>
      <c r="AE25" s="129">
        <f t="shared" si="5"/>
        <v>2.2598289132293403</v>
      </c>
      <c r="AF25" s="129">
        <f t="shared" si="5"/>
        <v>0.19454663339817824</v>
      </c>
      <c r="AG25" s="129">
        <f t="shared" si="5"/>
        <v>0.84150648684192442</v>
      </c>
      <c r="AH25" s="129">
        <f t="shared" si="5"/>
        <v>1.9035812338406615</v>
      </c>
      <c r="AI25" s="129">
        <f t="shared" si="5"/>
        <v>0.42364225824525847</v>
      </c>
      <c r="AJ25" s="129">
        <f t="shared" si="5"/>
        <v>0.16400197198503161</v>
      </c>
      <c r="AK25" s="129">
        <f t="shared" si="5"/>
        <v>0.68738373157138666</v>
      </c>
      <c r="AL25" s="129">
        <f t="shared" si="5"/>
        <v>3.5327958258023857</v>
      </c>
      <c r="AM25" s="129">
        <f t="shared" si="5"/>
        <v>2.2483690909752845</v>
      </c>
      <c r="AN25" s="129">
        <f t="shared" si="5"/>
        <v>-2.0535758989909589</v>
      </c>
      <c r="AO25" s="129">
        <f t="shared" si="5"/>
        <v>0.62857726139987313</v>
      </c>
      <c r="AP25" s="129">
        <f t="shared" si="5"/>
        <v>1.4402496146230848</v>
      </c>
      <c r="AQ25" s="129">
        <f t="shared" si="5"/>
        <v>1.5740459892609744</v>
      </c>
      <c r="AR25" s="129">
        <f t="shared" si="5"/>
        <v>1.7595760092328301</v>
      </c>
      <c r="AS25" s="129">
        <f t="shared" si="5"/>
        <v>1.9026119407402848</v>
      </c>
      <c r="AT25" s="129">
        <f t="shared" si="5"/>
        <v>2.3316563378902511</v>
      </c>
      <c r="AU25" s="129">
        <f t="shared" si="5"/>
        <v>0.81127491987407518</v>
      </c>
      <c r="AV25" s="129">
        <f t="shared" si="5"/>
        <v>2.6740501161172174</v>
      </c>
      <c r="AW25" s="129">
        <f t="shared" si="5"/>
        <v>1.4438600564771966</v>
      </c>
      <c r="AX25" s="129">
        <f t="shared" si="5"/>
        <v>1.0029225818084</v>
      </c>
      <c r="AY25" s="129">
        <f t="shared" si="5"/>
        <v>0.89846473112479441</v>
      </c>
      <c r="AZ25" s="129">
        <f t="shared" si="5"/>
        <v>5.4527880740282582</v>
      </c>
      <c r="BA25" s="129">
        <f t="shared" si="5"/>
        <v>-0.21033873125089297</v>
      </c>
      <c r="BB25" s="129">
        <f t="shared" si="5"/>
        <v>1.4692231724492817</v>
      </c>
      <c r="BC25" s="129">
        <f t="shared" si="5"/>
        <v>-1.0828300530300936</v>
      </c>
      <c r="BD25" s="129">
        <f t="shared" si="5"/>
        <v>2.4316799166573313</v>
      </c>
      <c r="BE25" s="129">
        <f t="shared" si="5"/>
        <v>2.3162815648294512</v>
      </c>
      <c r="BF25" s="129">
        <f t="shared" si="5"/>
        <v>1.1215689217497751</v>
      </c>
      <c r="BG25" s="129">
        <f t="shared" si="5"/>
        <v>0.98645621283358476</v>
      </c>
      <c r="BH25" s="129">
        <f t="shared" si="5"/>
        <v>2.074775302302593</v>
      </c>
    </row>
    <row r="26" spans="1:60" x14ac:dyDescent="0.25">
      <c r="A26" s="123" t="s">
        <v>534</v>
      </c>
      <c r="B26" s="121"/>
      <c r="D26" s="4"/>
      <c r="BF26" s="4"/>
      <c r="BG26" s="4"/>
      <c r="BH26" s="4"/>
    </row>
    <row r="27" spans="1:60" x14ac:dyDescent="0.25">
      <c r="A27" s="123"/>
      <c r="B27" s="121"/>
      <c r="D27" s="4"/>
      <c r="BF27" s="4"/>
      <c r="BG27" s="4"/>
      <c r="BH27" s="4"/>
    </row>
    <row r="28" spans="1:60" x14ac:dyDescent="0.25">
      <c r="B28" s="121"/>
      <c r="D28" s="4"/>
      <c r="BF28" s="4"/>
      <c r="BG28" s="4"/>
      <c r="BH28" s="4"/>
    </row>
    <row r="29" spans="1:60" x14ac:dyDescent="0.25">
      <c r="A29" s="7" t="s">
        <v>535</v>
      </c>
      <c r="B29" s="121"/>
      <c r="D29" s="4"/>
      <c r="BF29" s="4"/>
      <c r="BG29" s="4"/>
      <c r="BH29" s="4"/>
    </row>
    <row r="30" spans="1:60" x14ac:dyDescent="0.25">
      <c r="B30" s="121"/>
      <c r="D30" s="4"/>
      <c r="BF30" s="4"/>
      <c r="BG30" s="4"/>
      <c r="BH30" s="4"/>
    </row>
    <row r="31" spans="1:60" x14ac:dyDescent="0.25">
      <c r="A31" s="111" t="s">
        <v>260</v>
      </c>
      <c r="B31" s="112" t="s">
        <v>231</v>
      </c>
      <c r="C31" s="124">
        <v>200</v>
      </c>
      <c r="D31" s="113">
        <f>'Base de données indicateurs1'!BF9</f>
        <v>35810906.580000013</v>
      </c>
      <c r="E31" s="4">
        <f>'Base de données indicateurs1'!E9</f>
        <v>3771.65</v>
      </c>
      <c r="F31" s="4">
        <f>'Base de données indicateurs1'!F9</f>
        <v>44599</v>
      </c>
      <c r="G31" s="4">
        <f>'Base de données indicateurs1'!G9</f>
        <v>112759.55</v>
      </c>
      <c r="H31" s="4">
        <f>'Base de données indicateurs1'!H9</f>
        <v>233640.35</v>
      </c>
      <c r="I31" s="4">
        <f>'Base de données indicateurs1'!I9</f>
        <v>600201</v>
      </c>
      <c r="J31" s="4">
        <f>'Base de données indicateurs1'!J9</f>
        <v>950985.5</v>
      </c>
      <c r="K31" s="4">
        <f>'Base de données indicateurs1'!K9</f>
        <v>201552.2</v>
      </c>
      <c r="L31" s="4">
        <f>'Base de données indicateurs1'!L9</f>
        <v>3705859.12</v>
      </c>
      <c r="M31" s="4">
        <f>'Base de données indicateurs1'!M9</f>
        <v>242544.73</v>
      </c>
      <c r="N31" s="4">
        <f>'Base de données indicateurs1'!N9</f>
        <v>0</v>
      </c>
      <c r="O31" s="4">
        <f>'Base de données indicateurs1'!O9</f>
        <v>1453277.22</v>
      </c>
      <c r="P31" s="4">
        <f>'Base de données indicateurs1'!P9</f>
        <v>91190.97</v>
      </c>
      <c r="Q31" s="4">
        <f>'Base de données indicateurs1'!Q9</f>
        <v>25537.75</v>
      </c>
      <c r="R31" s="4">
        <f>'Base de données indicateurs1'!R9</f>
        <v>266808.40999999997</v>
      </c>
      <c r="S31" s="4">
        <f>'Base de données indicateurs1'!S9</f>
        <v>563608.91</v>
      </c>
      <c r="T31" s="4">
        <f>'Base de données indicateurs1'!T9</f>
        <v>401478.57</v>
      </c>
      <c r="U31" s="4">
        <f>'Base de données indicateurs1'!U9</f>
        <v>213190.62</v>
      </c>
      <c r="V31" s="4">
        <f>'Base de données indicateurs1'!V9</f>
        <v>221716.45</v>
      </c>
      <c r="W31" s="4">
        <f>'Base de données indicateurs1'!W9</f>
        <v>2071297.12</v>
      </c>
      <c r="X31" s="4">
        <f>'Base de données indicateurs1'!X9</f>
        <v>135</v>
      </c>
      <c r="Y31" s="4">
        <f>'Base de données indicateurs1'!Y9</f>
        <v>8866789.9800000004</v>
      </c>
      <c r="Z31" s="4">
        <f>'Base de données indicateurs1'!Z9</f>
        <v>3389024.96</v>
      </c>
      <c r="AA31" s="4">
        <f>'Base de données indicateurs1'!AA9</f>
        <v>33957</v>
      </c>
      <c r="AB31" s="4">
        <f>'Base de données indicateurs1'!AB9</f>
        <v>31444.13</v>
      </c>
      <c r="AC31" s="4">
        <f>'Base de données indicateurs1'!AC9</f>
        <v>287157.11</v>
      </c>
      <c r="AD31" s="4">
        <f>'Base de données indicateurs1'!AD9</f>
        <v>640852.55000000005</v>
      </c>
      <c r="AE31" s="4">
        <f>'Base de données indicateurs1'!AE9</f>
        <v>0</v>
      </c>
      <c r="AF31" s="4">
        <f>'Base de données indicateurs1'!AF9</f>
        <v>163650.85</v>
      </c>
      <c r="AG31" s="4">
        <f>'Base de données indicateurs1'!AG9</f>
        <v>1264494.6399999999</v>
      </c>
      <c r="AH31" s="4">
        <f>'Base de données indicateurs1'!AH9</f>
        <v>283597</v>
      </c>
      <c r="AI31" s="4">
        <f>'Base de données indicateurs1'!AI9</f>
        <v>74.5</v>
      </c>
      <c r="AJ31" s="4">
        <f>'Base de données indicateurs1'!AJ9</f>
        <v>43246.05</v>
      </c>
      <c r="AK31" s="4">
        <f>'Base de données indicateurs1'!AK9</f>
        <v>341865.4</v>
      </c>
      <c r="AL31" s="4">
        <f>'Base de données indicateurs1'!AL9</f>
        <v>320246</v>
      </c>
      <c r="AM31" s="4">
        <f>'Base de données indicateurs1'!AM9</f>
        <v>179595.55</v>
      </c>
      <c r="AN31" s="4">
        <f>'Base de données indicateurs1'!AN9</f>
        <v>30726.94</v>
      </c>
      <c r="AO31" s="4">
        <f>'Base de données indicateurs1'!AO9</f>
        <v>1175364.1000000001</v>
      </c>
      <c r="AP31" s="4">
        <f>'Base de données indicateurs1'!AP9</f>
        <v>352732.84</v>
      </c>
      <c r="AQ31" s="4">
        <f>'Base de données indicateurs1'!AQ9</f>
        <v>135768</v>
      </c>
      <c r="AR31" s="4">
        <f>'Base de données indicateurs1'!AR9</f>
        <v>320325.25</v>
      </c>
      <c r="AS31" s="4">
        <f>'Base de données indicateurs1'!AS9</f>
        <v>362403.69</v>
      </c>
      <c r="AT31" s="4">
        <f>'Base de données indicateurs1'!AT9</f>
        <v>212758.25</v>
      </c>
      <c r="AU31" s="4">
        <f>'Base de données indicateurs1'!AU9</f>
        <v>47182.1</v>
      </c>
      <c r="AV31" s="4">
        <f>'Base de données indicateurs1'!AV9</f>
        <v>526840.46</v>
      </c>
      <c r="AW31" s="4">
        <f>'Base de données indicateurs1'!AW9</f>
        <v>125306.3</v>
      </c>
      <c r="AX31" s="4">
        <f>'Base de données indicateurs1'!AX9</f>
        <v>18759.349999999999</v>
      </c>
      <c r="AY31" s="4">
        <f>'Base de données indicateurs1'!AY9</f>
        <v>110841.3</v>
      </c>
      <c r="AZ31" s="4">
        <f>'Base de données indicateurs1'!AZ9</f>
        <v>1391754.4</v>
      </c>
      <c r="BA31" s="4">
        <f>'Base de données indicateurs1'!BA9</f>
        <v>34063.440000000002</v>
      </c>
      <c r="BB31" s="4">
        <f>'Base de données indicateurs1'!BB9</f>
        <v>1010318.05</v>
      </c>
      <c r="BC31" s="4">
        <f>'Base de données indicateurs1'!BC9</f>
        <v>57543.88</v>
      </c>
      <c r="BD31" s="4">
        <f>'Base de données indicateurs1'!BD9</f>
        <v>2244759.54</v>
      </c>
      <c r="BE31" s="4">
        <f>'Base de données indicateurs1'!BE9</f>
        <v>403308.85</v>
      </c>
      <c r="BF31" s="4">
        <f t="shared" si="0"/>
        <v>11404019.119999997</v>
      </c>
      <c r="BG31" s="4">
        <f t="shared" si="1"/>
        <v>15004423.770000003</v>
      </c>
      <c r="BH31" s="4">
        <f t="shared" si="2"/>
        <v>9402463.6899999995</v>
      </c>
    </row>
    <row r="32" spans="1:60" x14ac:dyDescent="0.25">
      <c r="A32" s="114" t="s">
        <v>261</v>
      </c>
      <c r="B32" s="115" t="s">
        <v>231</v>
      </c>
      <c r="C32" s="114">
        <v>201</v>
      </c>
      <c r="D32" s="116">
        <f>'Base de données indicateurs1'!BF10</f>
        <v>98715493.190000013</v>
      </c>
      <c r="E32" s="4">
        <f>'Base de données indicateurs1'!E10</f>
        <v>3909040.76</v>
      </c>
      <c r="F32" s="4">
        <f>'Base de données indicateurs1'!F10</f>
        <v>74260</v>
      </c>
      <c r="G32" s="4">
        <f>'Base de données indicateurs1'!G10</f>
        <v>180090.75</v>
      </c>
      <c r="H32" s="4">
        <f>'Base de données indicateurs1'!H10</f>
        <v>352998.33</v>
      </c>
      <c r="I32" s="4">
        <f>'Base de données indicateurs1'!I10</f>
        <v>4511771</v>
      </c>
      <c r="J32" s="4">
        <f>'Base de données indicateurs1'!J10</f>
        <v>5336550</v>
      </c>
      <c r="K32" s="4">
        <f>'Base de données indicateurs1'!K10</f>
        <v>0</v>
      </c>
      <c r="L32" s="4">
        <f>'Base de données indicateurs1'!L10</f>
        <v>49004578.5</v>
      </c>
      <c r="M32" s="4">
        <f>'Base de données indicateurs1'!M10</f>
        <v>213200</v>
      </c>
      <c r="N32" s="4">
        <f>'Base de données indicateurs1'!N10</f>
        <v>0</v>
      </c>
      <c r="O32" s="4">
        <f>'Base de données indicateurs1'!O10</f>
        <v>3586455.24</v>
      </c>
      <c r="P32" s="4">
        <f>'Base de données indicateurs1'!P10</f>
        <v>1264473.8700000001</v>
      </c>
      <c r="Q32" s="4">
        <f>'Base de données indicateurs1'!Q10</f>
        <v>125256.5</v>
      </c>
      <c r="R32" s="4">
        <f>'Base de données indicateurs1'!R10</f>
        <v>0</v>
      </c>
      <c r="S32" s="4">
        <f>'Base de données indicateurs1'!S10</f>
        <v>2512156.62</v>
      </c>
      <c r="T32" s="4">
        <f>'Base de données indicateurs1'!T10</f>
        <v>0</v>
      </c>
      <c r="U32" s="4">
        <f>'Base de données indicateurs1'!U10</f>
        <v>160308.07999999999</v>
      </c>
      <c r="V32" s="4">
        <f>'Base de données indicateurs1'!V10</f>
        <v>675483.74</v>
      </c>
      <c r="W32" s="4">
        <f>'Base de données indicateurs1'!W10</f>
        <v>0</v>
      </c>
      <c r="X32" s="4">
        <f>'Base de données indicateurs1'!X10</f>
        <v>63507</v>
      </c>
      <c r="Y32" s="4">
        <f>'Base de données indicateurs1'!Y10</f>
        <v>0</v>
      </c>
      <c r="Z32" s="4">
        <f>'Base de données indicateurs1'!Z10</f>
        <v>0</v>
      </c>
      <c r="AA32" s="4">
        <f>'Base de données indicateurs1'!AA10</f>
        <v>0</v>
      </c>
      <c r="AB32" s="4">
        <f>'Base de données indicateurs1'!AB10</f>
        <v>0</v>
      </c>
      <c r="AC32" s="4">
        <f>'Base de données indicateurs1'!AC10</f>
        <v>795091.5</v>
      </c>
      <c r="AD32" s="4">
        <f>'Base de données indicateurs1'!AD10</f>
        <v>87760.01</v>
      </c>
      <c r="AE32" s="4">
        <f>'Base de données indicateurs1'!AE10</f>
        <v>195428.94</v>
      </c>
      <c r="AF32" s="4">
        <f>'Base de données indicateurs1'!AF10</f>
        <v>484090.65</v>
      </c>
      <c r="AG32" s="4">
        <f>'Base de données indicateurs1'!AG10</f>
        <v>1436720.75</v>
      </c>
      <c r="AH32" s="4">
        <f>'Base de données indicateurs1'!AH10</f>
        <v>7465504</v>
      </c>
      <c r="AI32" s="4">
        <f>'Base de données indicateurs1'!AI10</f>
        <v>-28418</v>
      </c>
      <c r="AJ32" s="4">
        <f>'Base de données indicateurs1'!AJ10</f>
        <v>16520</v>
      </c>
      <c r="AK32" s="4">
        <f>'Base de données indicateurs1'!AK10</f>
        <v>0</v>
      </c>
      <c r="AL32" s="4">
        <f>'Base de données indicateurs1'!AL10</f>
        <v>512379</v>
      </c>
      <c r="AM32" s="4">
        <f>'Base de données indicateurs1'!AM10</f>
        <v>438479.73</v>
      </c>
      <c r="AN32" s="4">
        <f>'Base de données indicateurs1'!AN10</f>
        <v>0</v>
      </c>
      <c r="AO32" s="4">
        <f>'Base de données indicateurs1'!AO10</f>
        <v>1000000</v>
      </c>
      <c r="AP32" s="4">
        <f>'Base de données indicateurs1'!AP10</f>
        <v>50050</v>
      </c>
      <c r="AQ32" s="4">
        <f>'Base de données indicateurs1'!AQ10</f>
        <v>334240</v>
      </c>
      <c r="AR32" s="4">
        <f>'Base de données indicateurs1'!AR10</f>
        <v>32000</v>
      </c>
      <c r="AS32" s="4">
        <f>'Base de données indicateurs1'!AS10</f>
        <v>333359.06</v>
      </c>
      <c r="AT32" s="4">
        <f>'Base de données indicateurs1'!AT10</f>
        <v>276059</v>
      </c>
      <c r="AU32" s="4">
        <f>'Base de données indicateurs1'!AU10</f>
        <v>19300</v>
      </c>
      <c r="AV32" s="4">
        <f>'Base de données indicateurs1'!AV10</f>
        <v>0</v>
      </c>
      <c r="AW32" s="4">
        <f>'Base de données indicateurs1'!AW10</f>
        <v>1227600</v>
      </c>
      <c r="AX32" s="4">
        <f>'Base de données indicateurs1'!AX10</f>
        <v>10000</v>
      </c>
      <c r="AY32" s="4">
        <f>'Base de données indicateurs1'!AY10</f>
        <v>235243.64</v>
      </c>
      <c r="AZ32" s="4">
        <f>'Base de données indicateurs1'!AZ10</f>
        <v>530829.82999999996</v>
      </c>
      <c r="BA32" s="4">
        <f>'Base de données indicateurs1'!BA10</f>
        <v>306582.07</v>
      </c>
      <c r="BB32" s="4">
        <f>'Base de données indicateurs1'!BB10</f>
        <v>725276.54</v>
      </c>
      <c r="BC32" s="4">
        <f>'Base de données indicateurs1'!BC10</f>
        <v>0</v>
      </c>
      <c r="BD32" s="4">
        <f>'Base de données indicateurs1'!BD10</f>
        <v>10110840.08</v>
      </c>
      <c r="BE32" s="4">
        <f>'Base de données indicateurs1'!BE10</f>
        <v>150426</v>
      </c>
      <c r="BF32" s="4">
        <f t="shared" si="0"/>
        <v>71906623.390000001</v>
      </c>
      <c r="BG32" s="4">
        <f t="shared" si="1"/>
        <v>10516204.85</v>
      </c>
      <c r="BH32" s="4">
        <f t="shared" si="2"/>
        <v>16292664.949999999</v>
      </c>
    </row>
    <row r="33" spans="1:60" x14ac:dyDescent="0.25">
      <c r="A33" s="114" t="s">
        <v>276</v>
      </c>
      <c r="B33" s="115" t="s">
        <v>232</v>
      </c>
      <c r="C33" s="114">
        <v>2016</v>
      </c>
      <c r="D33" s="116">
        <f>'Base de données indicateurs1'!BF11</f>
        <v>162300</v>
      </c>
      <c r="E33" s="4">
        <f>'Base de données indicateurs1'!E11</f>
        <v>0</v>
      </c>
      <c r="F33" s="4">
        <f>'Base de données indicateurs1'!F11</f>
        <v>0</v>
      </c>
      <c r="G33" s="4">
        <f>'Base de données indicateurs1'!G11</f>
        <v>0</v>
      </c>
      <c r="H33" s="4">
        <f>'Base de données indicateurs1'!H11</f>
        <v>0</v>
      </c>
      <c r="I33" s="4">
        <f>'Base de données indicateurs1'!I11</f>
        <v>0</v>
      </c>
      <c r="J33" s="4">
        <f>'Base de données indicateurs1'!J11</f>
        <v>0</v>
      </c>
      <c r="K33" s="4">
        <f>'Base de données indicateurs1'!K11</f>
        <v>0</v>
      </c>
      <c r="L33" s="4">
        <f>'Base de données indicateurs1'!L11</f>
        <v>0</v>
      </c>
      <c r="M33" s="4">
        <f>'Base de données indicateurs1'!M11</f>
        <v>0</v>
      </c>
      <c r="N33" s="4">
        <f>'Base de données indicateurs1'!N11</f>
        <v>0</v>
      </c>
      <c r="O33" s="4">
        <f>'Base de données indicateurs1'!O11</f>
        <v>0</v>
      </c>
      <c r="P33" s="4">
        <f>'Base de données indicateurs1'!P11</f>
        <v>0</v>
      </c>
      <c r="Q33" s="4">
        <f>'Base de données indicateurs1'!Q11</f>
        <v>0</v>
      </c>
      <c r="R33" s="4">
        <f>'Base de données indicateurs1'!R11</f>
        <v>0</v>
      </c>
      <c r="S33" s="4">
        <f>'Base de données indicateurs1'!S11</f>
        <v>0</v>
      </c>
      <c r="T33" s="4">
        <f>'Base de données indicateurs1'!T11</f>
        <v>0</v>
      </c>
      <c r="U33" s="4">
        <f>'Base de données indicateurs1'!U11</f>
        <v>0</v>
      </c>
      <c r="V33" s="4">
        <f>'Base de données indicateurs1'!V11</f>
        <v>0</v>
      </c>
      <c r="W33" s="4">
        <f>'Base de données indicateurs1'!W11</f>
        <v>0</v>
      </c>
      <c r="X33" s="4">
        <f>'Base de données indicateurs1'!X11</f>
        <v>0</v>
      </c>
      <c r="Y33" s="4">
        <f>'Base de données indicateurs1'!Y11</f>
        <v>0</v>
      </c>
      <c r="Z33" s="4">
        <f>'Base de données indicateurs1'!Z11</f>
        <v>0</v>
      </c>
      <c r="AA33" s="4">
        <f>'Base de données indicateurs1'!AA11</f>
        <v>0</v>
      </c>
      <c r="AB33" s="4">
        <f>'Base de données indicateurs1'!AB11</f>
        <v>0</v>
      </c>
      <c r="AC33" s="4">
        <f>'Base de données indicateurs1'!AC11</f>
        <v>0</v>
      </c>
      <c r="AD33" s="4">
        <f>'Base de données indicateurs1'!AD11</f>
        <v>0</v>
      </c>
      <c r="AE33" s="4">
        <f>'Base de données indicateurs1'!AE11</f>
        <v>0</v>
      </c>
      <c r="AF33" s="4">
        <f>'Base de données indicateurs1'!AF11</f>
        <v>0</v>
      </c>
      <c r="AG33" s="4">
        <f>'Base de données indicateurs1'!AG11</f>
        <v>0</v>
      </c>
      <c r="AH33" s="4">
        <f>'Base de données indicateurs1'!AH11</f>
        <v>0</v>
      </c>
      <c r="AI33" s="4">
        <f>'Base de données indicateurs1'!AI11</f>
        <v>0</v>
      </c>
      <c r="AJ33" s="4">
        <f>'Base de données indicateurs1'!AJ11</f>
        <v>0</v>
      </c>
      <c r="AK33" s="4">
        <f>'Base de données indicateurs1'!AK11</f>
        <v>0</v>
      </c>
      <c r="AL33" s="4">
        <f>'Base de données indicateurs1'!AL11</f>
        <v>162300</v>
      </c>
      <c r="AM33" s="4">
        <f>'Base de données indicateurs1'!AM11</f>
        <v>0</v>
      </c>
      <c r="AN33" s="4">
        <f>'Base de données indicateurs1'!AN11</f>
        <v>0</v>
      </c>
      <c r="AO33" s="4">
        <f>'Base de données indicateurs1'!AO11</f>
        <v>0</v>
      </c>
      <c r="AP33" s="4">
        <f>'Base de données indicateurs1'!AP11</f>
        <v>0</v>
      </c>
      <c r="AQ33" s="4">
        <f>'Base de données indicateurs1'!AQ11</f>
        <v>0</v>
      </c>
      <c r="AR33" s="4">
        <f>'Base de données indicateurs1'!AR11</f>
        <v>0</v>
      </c>
      <c r="AS33" s="4">
        <f>'Base de données indicateurs1'!AS11</f>
        <v>0</v>
      </c>
      <c r="AT33" s="4">
        <f>'Base de données indicateurs1'!AT11</f>
        <v>0</v>
      </c>
      <c r="AU33" s="4">
        <f>'Base de données indicateurs1'!AU11</f>
        <v>0</v>
      </c>
      <c r="AV33" s="4">
        <f>'Base de données indicateurs1'!AV11</f>
        <v>0</v>
      </c>
      <c r="AW33" s="4">
        <f>'Base de données indicateurs1'!AW11</f>
        <v>0</v>
      </c>
      <c r="AX33" s="4">
        <f>'Base de données indicateurs1'!AX11</f>
        <v>0</v>
      </c>
      <c r="AY33" s="4">
        <f>'Base de données indicateurs1'!AY11</f>
        <v>0</v>
      </c>
      <c r="AZ33" s="4">
        <f>'Base de données indicateurs1'!AZ11</f>
        <v>0</v>
      </c>
      <c r="BA33" s="4">
        <f>'Base de données indicateurs1'!BA11</f>
        <v>0</v>
      </c>
      <c r="BB33" s="4">
        <f>'Base de données indicateurs1'!BB11</f>
        <v>0</v>
      </c>
      <c r="BC33" s="4">
        <f>'Base de données indicateurs1'!BC11</f>
        <v>0</v>
      </c>
      <c r="BD33" s="4">
        <f>'Base de données indicateurs1'!BD11</f>
        <v>0</v>
      </c>
      <c r="BE33" s="4">
        <f>'Base de données indicateurs1'!BE11</f>
        <v>0</v>
      </c>
      <c r="BF33" s="4">
        <f t="shared" si="0"/>
        <v>0</v>
      </c>
      <c r="BG33" s="4">
        <f t="shared" si="1"/>
        <v>0</v>
      </c>
      <c r="BH33" s="4">
        <f t="shared" si="2"/>
        <v>162300</v>
      </c>
    </row>
    <row r="34" spans="1:60" x14ac:dyDescent="0.25">
      <c r="A34" s="114" t="s">
        <v>264</v>
      </c>
      <c r="B34" s="115" t="s">
        <v>231</v>
      </c>
      <c r="C34" s="114">
        <v>206</v>
      </c>
      <c r="D34" s="116">
        <f>'Base de données indicateurs1'!BF12</f>
        <v>404350735.29000002</v>
      </c>
      <c r="E34" s="4">
        <f>'Base de données indicateurs1'!E12</f>
        <v>3449574.66</v>
      </c>
      <c r="F34" s="4">
        <f>'Base de données indicateurs1'!F12</f>
        <v>1575200.85</v>
      </c>
      <c r="G34" s="4">
        <f>'Base de données indicateurs1'!G12</f>
        <v>5302040</v>
      </c>
      <c r="H34" s="4">
        <f>'Base de données indicateurs1'!H12</f>
        <v>3739314.97</v>
      </c>
      <c r="I34" s="4">
        <f>'Base de données indicateurs1'!I12</f>
        <v>17801406</v>
      </c>
      <c r="J34" s="4">
        <f>'Base de données indicateurs1'!J12</f>
        <v>14552620</v>
      </c>
      <c r="K34" s="4">
        <f>'Base de données indicateurs1'!K12</f>
        <v>6615738.4900000002</v>
      </c>
      <c r="L34" s="4">
        <f>'Base de données indicateurs1'!L12</f>
        <v>66513986.549999997</v>
      </c>
      <c r="M34" s="4">
        <f>'Base de données indicateurs1'!M12</f>
        <v>5198699.75</v>
      </c>
      <c r="N34" s="4">
        <f>'Base de données indicateurs1'!N12</f>
        <v>0</v>
      </c>
      <c r="O34" s="4">
        <f>'Base de données indicateurs1'!O12</f>
        <v>32997633.300000001</v>
      </c>
      <c r="P34" s="4">
        <f>'Base de données indicateurs1'!P12</f>
        <v>1797463.35</v>
      </c>
      <c r="Q34" s="4">
        <f>'Base de données indicateurs1'!Q12</f>
        <v>385600</v>
      </c>
      <c r="R34" s="4">
        <f>'Base de données indicateurs1'!R12</f>
        <v>3046722.25</v>
      </c>
      <c r="S34" s="4">
        <f>'Base de données indicateurs1'!S12</f>
        <v>1129011</v>
      </c>
      <c r="T34" s="4">
        <f>'Base de données indicateurs1'!T12</f>
        <v>5103900</v>
      </c>
      <c r="U34" s="4">
        <f>'Base de données indicateurs1'!U12</f>
        <v>280221.77</v>
      </c>
      <c r="V34" s="4">
        <f>'Base de données indicateurs1'!V12</f>
        <v>1847698.1</v>
      </c>
      <c r="W34" s="4">
        <f>'Base de données indicateurs1'!W12</f>
        <v>12761720</v>
      </c>
      <c r="X34" s="4">
        <f>'Base de données indicateurs1'!X12</f>
        <v>504064</v>
      </c>
      <c r="Y34" s="4">
        <f>'Base de données indicateurs1'!Y12</f>
        <v>3210200</v>
      </c>
      <c r="Z34" s="4">
        <f>'Base de données indicateurs1'!Z12</f>
        <v>4729200</v>
      </c>
      <c r="AA34" s="4">
        <f>'Base de données indicateurs1'!AA12</f>
        <v>610190</v>
      </c>
      <c r="AB34" s="4">
        <f>'Base de données indicateurs1'!AB12</f>
        <v>1200000</v>
      </c>
      <c r="AC34" s="4">
        <f>'Base de données indicateurs1'!AC12</f>
        <v>1985134.62</v>
      </c>
      <c r="AD34" s="4">
        <f>'Base de données indicateurs1'!AD12</f>
        <v>6970357.2800000003</v>
      </c>
      <c r="AE34" s="4">
        <f>'Base de données indicateurs1'!AE12</f>
        <v>3642000</v>
      </c>
      <c r="AF34" s="4">
        <f>'Base de données indicateurs1'!AF12</f>
        <v>515000</v>
      </c>
      <c r="AG34" s="4">
        <f>'Base de données indicateurs1'!AG12</f>
        <v>4377400</v>
      </c>
      <c r="AH34" s="4">
        <f>'Base de données indicateurs1'!AH12</f>
        <v>11523397</v>
      </c>
      <c r="AI34" s="4">
        <f>'Base de données indicateurs1'!AI12</f>
        <v>913401</v>
      </c>
      <c r="AJ34" s="4">
        <f>'Base de données indicateurs1'!AJ12</f>
        <v>659260</v>
      </c>
      <c r="AK34" s="4">
        <f>'Base de données indicateurs1'!AK12</f>
        <v>16838944.620000001</v>
      </c>
      <c r="AL34" s="4">
        <f>'Base de données indicateurs1'!AL12</f>
        <v>5808800</v>
      </c>
      <c r="AM34" s="4">
        <f>'Base de données indicateurs1'!AM12</f>
        <v>10805793.380000001</v>
      </c>
      <c r="AN34" s="4">
        <f>'Base de données indicateurs1'!AN12</f>
        <v>1600000</v>
      </c>
      <c r="AO34" s="4">
        <f>'Base de données indicateurs1'!AO12</f>
        <v>7922475</v>
      </c>
      <c r="AP34" s="4">
        <f>'Base de données indicateurs1'!AP12</f>
        <v>4736229.05</v>
      </c>
      <c r="AQ34" s="4">
        <f>'Base de données indicateurs1'!AQ12</f>
        <v>3968985</v>
      </c>
      <c r="AR34" s="4">
        <f>'Base de données indicateurs1'!AR12</f>
        <v>9008304.7300000004</v>
      </c>
      <c r="AS34" s="4">
        <f>'Base de données indicateurs1'!AS12</f>
        <v>4813702</v>
      </c>
      <c r="AT34" s="4">
        <f>'Base de données indicateurs1'!AT12</f>
        <v>7532739.1200000001</v>
      </c>
      <c r="AU34" s="4">
        <f>'Base de données indicateurs1'!AU12</f>
        <v>1825965</v>
      </c>
      <c r="AV34" s="4">
        <f>'Base de données indicateurs1'!AV12</f>
        <v>13357775</v>
      </c>
      <c r="AW34" s="4">
        <f>'Base de données indicateurs1'!AW12</f>
        <v>4368892</v>
      </c>
      <c r="AX34" s="4">
        <f>'Base de données indicateurs1'!AX12</f>
        <v>798406.85</v>
      </c>
      <c r="AY34" s="4">
        <f>'Base de données indicateurs1'!AY12</f>
        <v>1660900</v>
      </c>
      <c r="AZ34" s="4">
        <f>'Base de données indicateurs1'!AZ12</f>
        <v>18633004.399999999</v>
      </c>
      <c r="BA34" s="4">
        <f>'Base de données indicateurs1'!BA12</f>
        <v>871280</v>
      </c>
      <c r="BB34" s="4">
        <f>'Base de données indicateurs1'!BB12</f>
        <v>8489385.5500000007</v>
      </c>
      <c r="BC34" s="4">
        <f>'Base de données indicateurs1'!BC12</f>
        <v>148745.70000000001</v>
      </c>
      <c r="BD34" s="4">
        <f>'Base de données indicateurs1'!BD12</f>
        <v>52347931</v>
      </c>
      <c r="BE34" s="4">
        <f>'Base de données indicateurs1'!BE12</f>
        <v>3874321.95</v>
      </c>
      <c r="BF34" s="4">
        <f t="shared" si="0"/>
        <v>184098551.04000002</v>
      </c>
      <c r="BG34" s="4">
        <f t="shared" si="1"/>
        <v>40839603.900000006</v>
      </c>
      <c r="BH34" s="4">
        <f t="shared" si="2"/>
        <v>179412580.34999999</v>
      </c>
    </row>
    <row r="35" spans="1:60" ht="15.75" thickBot="1" x14ac:dyDescent="0.3">
      <c r="B35" s="121"/>
      <c r="D35" s="4"/>
      <c r="BF35" s="4"/>
      <c r="BG35" s="4"/>
      <c r="BH35" s="4"/>
    </row>
    <row r="36" spans="1:60" ht="15.75" thickBot="1" x14ac:dyDescent="0.3">
      <c r="A36" s="7" t="s">
        <v>536</v>
      </c>
      <c r="B36" s="64"/>
      <c r="C36" s="7"/>
      <c r="D36" s="120">
        <f>SUM(D31:D32,D34)-D33</f>
        <v>538714835.06000006</v>
      </c>
      <c r="E36" s="145">
        <f>SUM(E31:E32,E34)-E33</f>
        <v>7362387.0700000003</v>
      </c>
      <c r="F36" s="129">
        <f t="shared" ref="F36:BE36" si="6">SUM(F31:F32,F34)-F33</f>
        <v>1694059.85</v>
      </c>
      <c r="G36" s="129">
        <f t="shared" si="6"/>
        <v>5594890.2999999998</v>
      </c>
      <c r="H36" s="129">
        <f t="shared" si="6"/>
        <v>4325953.6500000004</v>
      </c>
      <c r="I36" s="129">
        <f t="shared" si="6"/>
        <v>22913378</v>
      </c>
      <c r="J36" s="129">
        <f t="shared" si="6"/>
        <v>20840155.5</v>
      </c>
      <c r="K36" s="129">
        <f t="shared" si="6"/>
        <v>6817290.6900000004</v>
      </c>
      <c r="L36" s="129">
        <f t="shared" si="6"/>
        <v>119224424.16999999</v>
      </c>
      <c r="M36" s="129">
        <f t="shared" si="6"/>
        <v>5654444.4800000004</v>
      </c>
      <c r="N36" s="129">
        <f t="shared" si="6"/>
        <v>0</v>
      </c>
      <c r="O36" s="129">
        <f t="shared" si="6"/>
        <v>38037365.759999998</v>
      </c>
      <c r="P36" s="129">
        <f t="shared" si="6"/>
        <v>3153128.1900000004</v>
      </c>
      <c r="Q36" s="129">
        <f t="shared" si="6"/>
        <v>536394.25</v>
      </c>
      <c r="R36" s="129">
        <f t="shared" si="6"/>
        <v>3313530.66</v>
      </c>
      <c r="S36" s="129">
        <f t="shared" si="6"/>
        <v>4204776.53</v>
      </c>
      <c r="T36" s="129">
        <f t="shared" si="6"/>
        <v>5505378.5700000003</v>
      </c>
      <c r="U36" s="129">
        <f t="shared" si="6"/>
        <v>653720.47</v>
      </c>
      <c r="V36" s="129">
        <f t="shared" si="6"/>
        <v>2744898.29</v>
      </c>
      <c r="W36" s="129">
        <f t="shared" si="6"/>
        <v>14833017.120000001</v>
      </c>
      <c r="X36" s="129">
        <f t="shared" si="6"/>
        <v>567706</v>
      </c>
      <c r="Y36" s="129">
        <f t="shared" si="6"/>
        <v>12076989.98</v>
      </c>
      <c r="Z36" s="129">
        <f t="shared" si="6"/>
        <v>8118224.96</v>
      </c>
      <c r="AA36" s="129">
        <f t="shared" si="6"/>
        <v>644147</v>
      </c>
      <c r="AB36" s="129">
        <f t="shared" si="6"/>
        <v>1231444.1299999999</v>
      </c>
      <c r="AC36" s="129">
        <f t="shared" si="6"/>
        <v>3067383.23</v>
      </c>
      <c r="AD36" s="129">
        <f t="shared" si="6"/>
        <v>7698969.8399999999</v>
      </c>
      <c r="AE36" s="129">
        <f t="shared" si="6"/>
        <v>3837428.94</v>
      </c>
      <c r="AF36" s="129">
        <f t="shared" si="6"/>
        <v>1162741.5</v>
      </c>
      <c r="AG36" s="129">
        <f t="shared" si="6"/>
        <v>7078615.3899999997</v>
      </c>
      <c r="AH36" s="129">
        <f t="shared" si="6"/>
        <v>19272498</v>
      </c>
      <c r="AI36" s="129">
        <f t="shared" si="6"/>
        <v>885057.5</v>
      </c>
      <c r="AJ36" s="129">
        <f t="shared" si="6"/>
        <v>719026.05</v>
      </c>
      <c r="AK36" s="129">
        <f t="shared" si="6"/>
        <v>17180810.02</v>
      </c>
      <c r="AL36" s="129">
        <f t="shared" si="6"/>
        <v>6479125</v>
      </c>
      <c r="AM36" s="129">
        <f t="shared" si="6"/>
        <v>11423868.66</v>
      </c>
      <c r="AN36" s="129">
        <f t="shared" si="6"/>
        <v>1630726.94</v>
      </c>
      <c r="AO36" s="129">
        <f t="shared" si="6"/>
        <v>10097839.1</v>
      </c>
      <c r="AP36" s="129">
        <f t="shared" si="6"/>
        <v>5139011.8899999997</v>
      </c>
      <c r="AQ36" s="129">
        <f t="shared" si="6"/>
        <v>4438993</v>
      </c>
      <c r="AR36" s="129">
        <f t="shared" si="6"/>
        <v>9360629.9800000004</v>
      </c>
      <c r="AS36" s="129">
        <f t="shared" si="6"/>
        <v>5509464.75</v>
      </c>
      <c r="AT36" s="129">
        <f t="shared" si="6"/>
        <v>8021556.3700000001</v>
      </c>
      <c r="AU36" s="129">
        <f t="shared" si="6"/>
        <v>1892447.1</v>
      </c>
      <c r="AV36" s="129">
        <f t="shared" si="6"/>
        <v>13884615.460000001</v>
      </c>
      <c r="AW36" s="129">
        <f t="shared" si="6"/>
        <v>5721798.2999999998</v>
      </c>
      <c r="AX36" s="129">
        <f t="shared" si="6"/>
        <v>827166.2</v>
      </c>
      <c r="AY36" s="129">
        <f t="shared" si="6"/>
        <v>2006984.94</v>
      </c>
      <c r="AZ36" s="129">
        <f t="shared" si="6"/>
        <v>20555588.629999999</v>
      </c>
      <c r="BA36" s="129">
        <f t="shared" si="6"/>
        <v>1211925.51</v>
      </c>
      <c r="BB36" s="129">
        <f t="shared" si="6"/>
        <v>10224980.140000001</v>
      </c>
      <c r="BC36" s="129">
        <f t="shared" si="6"/>
        <v>206289.58000000002</v>
      </c>
      <c r="BD36" s="129">
        <f t="shared" si="6"/>
        <v>64703530.620000005</v>
      </c>
      <c r="BE36" s="129">
        <f t="shared" si="6"/>
        <v>4428056.8</v>
      </c>
      <c r="BF36" s="4">
        <f t="shared" si="0"/>
        <v>267409193.54999995</v>
      </c>
      <c r="BG36" s="4">
        <f t="shared" si="1"/>
        <v>66360232.519999996</v>
      </c>
      <c r="BH36" s="4">
        <f t="shared" si="2"/>
        <v>204945408.99000004</v>
      </c>
    </row>
    <row r="37" spans="1:60" ht="15.75" thickBot="1" x14ac:dyDescent="0.3">
      <c r="B37" s="110"/>
      <c r="D37" s="4"/>
      <c r="E37" s="152"/>
      <c r="BF37" s="4"/>
      <c r="BG37" s="4"/>
      <c r="BH37" s="4"/>
    </row>
    <row r="38" spans="1:60" ht="15.75" thickBot="1" x14ac:dyDescent="0.3">
      <c r="A38" s="7" t="s">
        <v>532</v>
      </c>
      <c r="B38" s="125"/>
      <c r="C38" s="7"/>
      <c r="D38" s="120">
        <f>D23</f>
        <v>211051448.30999997</v>
      </c>
      <c r="E38" s="145">
        <f>E23</f>
        <v>3316356.05</v>
      </c>
      <c r="F38" s="129">
        <f t="shared" ref="F38:BE38" si="7">F23</f>
        <v>708479.36</v>
      </c>
      <c r="G38" s="129">
        <f t="shared" si="7"/>
        <v>1151250.3</v>
      </c>
      <c r="H38" s="129">
        <f t="shared" si="7"/>
        <v>1031246.7000000001</v>
      </c>
      <c r="I38" s="129">
        <f t="shared" si="7"/>
        <v>7505998</v>
      </c>
      <c r="J38" s="129">
        <f t="shared" si="7"/>
        <v>9386117.5500000007</v>
      </c>
      <c r="K38" s="129">
        <f t="shared" si="7"/>
        <v>7074662.6100000003</v>
      </c>
      <c r="L38" s="129">
        <f t="shared" si="7"/>
        <v>36177201.799999997</v>
      </c>
      <c r="M38" s="129">
        <f t="shared" si="7"/>
        <v>3378882.63</v>
      </c>
      <c r="N38" s="129">
        <f t="shared" si="7"/>
        <v>0</v>
      </c>
      <c r="O38" s="129">
        <f t="shared" si="7"/>
        <v>16408899.699999999</v>
      </c>
      <c r="P38" s="129">
        <f t="shared" si="7"/>
        <v>1223857</v>
      </c>
      <c r="Q38" s="129">
        <f t="shared" si="7"/>
        <v>187655.7</v>
      </c>
      <c r="R38" s="129">
        <f t="shared" si="7"/>
        <v>989182.65</v>
      </c>
      <c r="S38" s="129">
        <f t="shared" si="7"/>
        <v>722909.15</v>
      </c>
      <c r="T38" s="129">
        <f t="shared" si="7"/>
        <v>1998942.1</v>
      </c>
      <c r="U38" s="129">
        <f t="shared" si="7"/>
        <v>596548.80000000005</v>
      </c>
      <c r="V38" s="129">
        <f t="shared" si="7"/>
        <v>1298541.25</v>
      </c>
      <c r="W38" s="129">
        <f t="shared" si="7"/>
        <v>7360026.75</v>
      </c>
      <c r="X38" s="129">
        <f t="shared" si="7"/>
        <v>848811</v>
      </c>
      <c r="Y38" s="129">
        <f t="shared" si="7"/>
        <v>3758598.17</v>
      </c>
      <c r="Z38" s="129">
        <f t="shared" si="7"/>
        <v>9516564.6999999993</v>
      </c>
      <c r="AA38" s="129">
        <f t="shared" si="7"/>
        <v>50942</v>
      </c>
      <c r="AB38" s="129">
        <f t="shared" si="7"/>
        <v>286207.2</v>
      </c>
      <c r="AC38" s="129">
        <f t="shared" si="7"/>
        <v>857901.03</v>
      </c>
      <c r="AD38" s="129">
        <f t="shared" si="7"/>
        <v>1168568.55</v>
      </c>
      <c r="AE38" s="129">
        <f t="shared" si="7"/>
        <v>1230165.25</v>
      </c>
      <c r="AF38" s="129">
        <f t="shared" si="7"/>
        <v>1252296.1499999999</v>
      </c>
      <c r="AG38" s="129">
        <f t="shared" si="7"/>
        <v>6915032.8499999996</v>
      </c>
      <c r="AH38" s="129">
        <f t="shared" si="7"/>
        <v>7675902</v>
      </c>
      <c r="AI38" s="129">
        <f t="shared" si="7"/>
        <v>521416.35</v>
      </c>
      <c r="AJ38" s="129">
        <f t="shared" si="7"/>
        <v>298886.64999999997</v>
      </c>
      <c r="AK38" s="129">
        <f t="shared" si="7"/>
        <v>5427042.9000000004</v>
      </c>
      <c r="AL38" s="129">
        <f t="shared" si="7"/>
        <v>2482113.44</v>
      </c>
      <c r="AM38" s="129">
        <f t="shared" si="7"/>
        <v>2961017.4</v>
      </c>
      <c r="AN38" s="129">
        <f t="shared" si="7"/>
        <v>334540.34999999998</v>
      </c>
      <c r="AO38" s="129">
        <f t="shared" si="7"/>
        <v>6828835.9500000002</v>
      </c>
      <c r="AP38" s="129">
        <f t="shared" si="7"/>
        <v>1931797.0799999998</v>
      </c>
      <c r="AQ38" s="129">
        <f t="shared" si="7"/>
        <v>1951760</v>
      </c>
      <c r="AR38" s="129">
        <f t="shared" si="7"/>
        <v>3322751.6</v>
      </c>
      <c r="AS38" s="129">
        <f t="shared" si="7"/>
        <v>1689242</v>
      </c>
      <c r="AT38" s="129">
        <f t="shared" si="7"/>
        <v>2391707.9500000002</v>
      </c>
      <c r="AU38" s="129">
        <f t="shared" si="7"/>
        <v>2254217.35</v>
      </c>
      <c r="AV38" s="129">
        <f t="shared" si="7"/>
        <v>5553039.5300000003</v>
      </c>
      <c r="AW38" s="129">
        <f t="shared" si="7"/>
        <v>2202056.9</v>
      </c>
      <c r="AX38" s="129">
        <f t="shared" si="7"/>
        <v>378808.9</v>
      </c>
      <c r="AY38" s="129">
        <f t="shared" si="7"/>
        <v>902646.45</v>
      </c>
      <c r="AZ38" s="129">
        <f t="shared" si="7"/>
        <v>4857539.6000000006</v>
      </c>
      <c r="BA38" s="129">
        <f t="shared" si="7"/>
        <v>984706.9</v>
      </c>
      <c r="BB38" s="129">
        <f t="shared" si="7"/>
        <v>3613483.71</v>
      </c>
      <c r="BC38" s="129">
        <f t="shared" si="7"/>
        <v>341683.35</v>
      </c>
      <c r="BD38" s="129">
        <f t="shared" si="7"/>
        <v>24686130.600000001</v>
      </c>
      <c r="BE38" s="129">
        <f t="shared" si="7"/>
        <v>1058276.3500000001</v>
      </c>
      <c r="BF38" s="4">
        <f t="shared" si="0"/>
        <v>100516758.10000001</v>
      </c>
      <c r="BG38" s="4">
        <f t="shared" si="1"/>
        <v>34381291.899999999</v>
      </c>
      <c r="BH38" s="4">
        <f t="shared" si="2"/>
        <v>76153398.310000002</v>
      </c>
    </row>
    <row r="39" spans="1:60" ht="15.75" thickBot="1" x14ac:dyDescent="0.3">
      <c r="B39" s="110"/>
      <c r="D39" s="4"/>
      <c r="E39" s="152"/>
      <c r="BF39" s="4"/>
      <c r="BG39" s="4"/>
      <c r="BH39" s="4"/>
    </row>
    <row r="40" spans="1:60" ht="15.75" thickBot="1" x14ac:dyDescent="0.3">
      <c r="A40" s="7" t="s">
        <v>537</v>
      </c>
      <c r="B40" s="125"/>
      <c r="C40" s="7"/>
      <c r="D40" s="120">
        <f>IF(D38&lt;&gt;0,D36/D38,"")*100</f>
        <v>255.25284918619286</v>
      </c>
      <c r="E40" s="145">
        <f>IF(E38&lt;&gt;0,E36/E38,"")*100</f>
        <v>222.00231094004522</v>
      </c>
      <c r="F40" s="129">
        <f t="shared" ref="F40:BH40" si="8">IF(F38&lt;&gt;0,F36/F38,"")*100</f>
        <v>239.11209636368235</v>
      </c>
      <c r="G40" s="129">
        <f t="shared" si="8"/>
        <v>485.98382992820933</v>
      </c>
      <c r="H40" s="129">
        <f t="shared" si="8"/>
        <v>419.48775690627667</v>
      </c>
      <c r="I40" s="129">
        <f t="shared" si="8"/>
        <v>305.26757401214337</v>
      </c>
      <c r="J40" s="129">
        <f t="shared" si="8"/>
        <v>222.03169083472639</v>
      </c>
      <c r="K40" s="129">
        <f t="shared" si="8"/>
        <v>96.362060861585036</v>
      </c>
      <c r="L40" s="129">
        <f t="shared" si="8"/>
        <v>329.5567878055179</v>
      </c>
      <c r="M40" s="129">
        <f t="shared" si="8"/>
        <v>167.34657871202828</v>
      </c>
      <c r="N40" s="129" t="e">
        <f t="shared" si="8"/>
        <v>#VALUE!</v>
      </c>
      <c r="O40" s="129">
        <f t="shared" si="8"/>
        <v>231.80936233037005</v>
      </c>
      <c r="P40" s="129">
        <f t="shared" si="8"/>
        <v>257.63861219080337</v>
      </c>
      <c r="Q40" s="129">
        <f t="shared" si="8"/>
        <v>285.83957215261779</v>
      </c>
      <c r="R40" s="129">
        <f t="shared" si="8"/>
        <v>334.97662539875728</v>
      </c>
      <c r="S40" s="129">
        <f t="shared" si="8"/>
        <v>581.64660524769954</v>
      </c>
      <c r="T40" s="129">
        <f t="shared" si="8"/>
        <v>275.41460905746095</v>
      </c>
      <c r="U40" s="129">
        <f t="shared" si="8"/>
        <v>109.58373732375289</v>
      </c>
      <c r="V40" s="129">
        <f t="shared" si="8"/>
        <v>211.38321866941078</v>
      </c>
      <c r="W40" s="129">
        <f t="shared" si="8"/>
        <v>201.53482621513569</v>
      </c>
      <c r="X40" s="129">
        <f t="shared" si="8"/>
        <v>66.882497988362545</v>
      </c>
      <c r="Y40" s="129">
        <f t="shared" si="8"/>
        <v>321.31633746844506</v>
      </c>
      <c r="Z40" s="129">
        <f t="shared" si="8"/>
        <v>85.306255102747315</v>
      </c>
      <c r="AA40" s="129">
        <f t="shared" si="8"/>
        <v>1264.4713595854109</v>
      </c>
      <c r="AB40" s="129">
        <f t="shared" si="8"/>
        <v>430.2631555041242</v>
      </c>
      <c r="AC40" s="129">
        <f t="shared" si="8"/>
        <v>357.5451156644491</v>
      </c>
      <c r="AD40" s="129">
        <f t="shared" si="8"/>
        <v>658.83767280918175</v>
      </c>
      <c r="AE40" s="129">
        <f t="shared" si="8"/>
        <v>311.94418310873277</v>
      </c>
      <c r="AF40" s="129">
        <f t="shared" si="8"/>
        <v>92.848764247977613</v>
      </c>
      <c r="AG40" s="129">
        <f t="shared" si="8"/>
        <v>102.36560756179199</v>
      </c>
      <c r="AH40" s="129">
        <f t="shared" si="8"/>
        <v>251.07795800415377</v>
      </c>
      <c r="AI40" s="129">
        <f t="shared" si="8"/>
        <v>169.74103324531347</v>
      </c>
      <c r="AJ40" s="129">
        <f t="shared" si="8"/>
        <v>240.56813845650186</v>
      </c>
      <c r="AK40" s="129">
        <f t="shared" si="8"/>
        <v>316.57774476041084</v>
      </c>
      <c r="AL40" s="129">
        <f t="shared" si="8"/>
        <v>261.03259003343538</v>
      </c>
      <c r="AM40" s="129">
        <f t="shared" si="8"/>
        <v>385.80890000849035</v>
      </c>
      <c r="AN40" s="129">
        <f t="shared" si="8"/>
        <v>487.4529903492957</v>
      </c>
      <c r="AO40" s="129">
        <f t="shared" si="8"/>
        <v>147.87057668298502</v>
      </c>
      <c r="AP40" s="129">
        <f t="shared" si="8"/>
        <v>266.02234485207941</v>
      </c>
      <c r="AQ40" s="129">
        <f t="shared" si="8"/>
        <v>227.43539164651389</v>
      </c>
      <c r="AR40" s="129">
        <f t="shared" si="8"/>
        <v>281.71320359908935</v>
      </c>
      <c r="AS40" s="129">
        <f t="shared" si="8"/>
        <v>326.15011644275955</v>
      </c>
      <c r="AT40" s="129">
        <f t="shared" si="8"/>
        <v>335.39029587621678</v>
      </c>
      <c r="AU40" s="129">
        <f t="shared" si="8"/>
        <v>83.95140335513787</v>
      </c>
      <c r="AV40" s="129">
        <f t="shared" si="8"/>
        <v>250.0363158769014</v>
      </c>
      <c r="AW40" s="129">
        <f t="shared" si="8"/>
        <v>259.83880343873039</v>
      </c>
      <c r="AX40" s="129">
        <f t="shared" si="8"/>
        <v>218.3597587068308</v>
      </c>
      <c r="AY40" s="129">
        <f t="shared" si="8"/>
        <v>222.34452259796734</v>
      </c>
      <c r="AZ40" s="129">
        <f t="shared" si="8"/>
        <v>423.16872990597949</v>
      </c>
      <c r="BA40" s="129">
        <f t="shared" si="8"/>
        <v>123.07474538870397</v>
      </c>
      <c r="BB40" s="129">
        <f t="shared" si="8"/>
        <v>282.9673788677465</v>
      </c>
      <c r="BC40" s="129">
        <f t="shared" si="8"/>
        <v>60.374490006609925</v>
      </c>
      <c r="BD40" s="129">
        <f t="shared" si="8"/>
        <v>262.10478939943715</v>
      </c>
      <c r="BE40" s="129">
        <f t="shared" si="8"/>
        <v>418.42159658958639</v>
      </c>
      <c r="BF40" s="129">
        <f t="shared" si="8"/>
        <v>266.03443903748416</v>
      </c>
      <c r="BG40" s="129">
        <f t="shared" si="8"/>
        <v>193.0126206804928</v>
      </c>
      <c r="BH40" s="129">
        <f t="shared" si="8"/>
        <v>269.12181667287177</v>
      </c>
    </row>
    <row r="41" spans="1:60" x14ac:dyDescent="0.25">
      <c r="A41" s="123" t="s">
        <v>538</v>
      </c>
      <c r="B41" s="110"/>
      <c r="D41" s="4"/>
    </row>
    <row r="42" spans="1:60" x14ac:dyDescent="0.25">
      <c r="B42" s="110"/>
      <c r="D42" s="4"/>
    </row>
    <row r="43" spans="1:60" x14ac:dyDescent="0.25">
      <c r="D43"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6"/>
  <sheetViews>
    <sheetView workbookViewId="0">
      <pane xSplit="4" ySplit="11" topLeftCell="E24" activePane="bottomRight" state="frozen"/>
      <selection pane="topRight" activeCell="E1" sqref="E1"/>
      <selection pane="bottomLeft" activeCell="A12" sqref="A12"/>
      <selection pane="bottomRight" activeCell="D26" sqref="D26"/>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539</v>
      </c>
      <c r="B10" s="110"/>
      <c r="C10" s="65" t="s">
        <v>507</v>
      </c>
      <c r="D10" s="65" t="s">
        <v>508</v>
      </c>
      <c r="E10" s="29">
        <f>'4.1 Comptes 2020 natures'!E2</f>
        <v>923</v>
      </c>
      <c r="F10" s="29">
        <f>'4.1 Comptes 2020 natures'!F2</f>
        <v>270</v>
      </c>
      <c r="G10" s="29">
        <f>'4.1 Comptes 2020 natures'!G2</f>
        <v>485</v>
      </c>
      <c r="H10" s="29">
        <f>'4.1 Comptes 2020 natures'!H2</f>
        <v>446</v>
      </c>
      <c r="I10" s="29">
        <f>'4.1 Comptes 2020 natures'!I2</f>
        <v>3631</v>
      </c>
      <c r="J10" s="29">
        <f>'4.1 Comptes 2020 natures'!J2</f>
        <v>3313</v>
      </c>
      <c r="K10" s="29">
        <f>'4.1 Comptes 2020 natures'!K2</f>
        <v>2644</v>
      </c>
      <c r="L10" s="30">
        <f>'4.1 Comptes 2020 natures'!L2</f>
        <v>12618</v>
      </c>
      <c r="M10" s="30">
        <f>'4.1 Comptes 2020 natures'!M2</f>
        <v>1371</v>
      </c>
      <c r="N10" s="30">
        <f>'4.1 Comptes 2020 natures'!N2</f>
        <v>118</v>
      </c>
      <c r="O10" s="30">
        <f>'4.1 Comptes 2020 natures'!O2</f>
        <v>7167</v>
      </c>
      <c r="P10" s="30">
        <f>'4.1 Comptes 2020 natures'!P2</f>
        <v>528</v>
      </c>
      <c r="Q10" s="30">
        <f>'4.1 Comptes 2020 natures'!Q2</f>
        <v>108</v>
      </c>
      <c r="R10" s="30">
        <f>'4.1 Comptes 2020 natures'!R2</f>
        <v>415</v>
      </c>
      <c r="S10" s="30">
        <f>'4.1 Comptes 2020 natures'!S2</f>
        <v>349</v>
      </c>
      <c r="T10" s="30">
        <f>'4.1 Comptes 2020 natures'!T2</f>
        <v>687</v>
      </c>
      <c r="U10" s="30">
        <f>'4.1 Comptes 2020 natures'!U2</f>
        <v>255</v>
      </c>
      <c r="V10" s="30">
        <f>'4.1 Comptes 2020 natures'!V2</f>
        <v>436</v>
      </c>
      <c r="W10" s="30">
        <f>'4.1 Comptes 2020 natures'!W2</f>
        <v>3190</v>
      </c>
      <c r="X10" s="26">
        <f>'4.1 Comptes 2020 natures'!X2</f>
        <v>324</v>
      </c>
      <c r="Y10" s="26">
        <f>'4.1 Comptes 2020 natures'!Y2</f>
        <v>1246</v>
      </c>
      <c r="Z10" s="26">
        <f>'4.1 Comptes 2020 natures'!Z2</f>
        <v>1528</v>
      </c>
      <c r="AA10" s="26">
        <f>'4.1 Comptes 2020 natures'!AA2</f>
        <v>96</v>
      </c>
      <c r="AB10" s="26">
        <f>'4.1 Comptes 2020 natures'!AB2</f>
        <v>149</v>
      </c>
      <c r="AC10" s="26">
        <f>'4.1 Comptes 2020 natures'!AC2</f>
        <v>516</v>
      </c>
      <c r="AD10" s="26">
        <f>'4.1 Comptes 2020 natures'!AD2</f>
        <v>671</v>
      </c>
      <c r="AE10" s="26">
        <f>'4.1 Comptes 2020 natures'!AE2</f>
        <v>572</v>
      </c>
      <c r="AF10" s="26">
        <f>'4.1 Comptes 2020 natures'!AF2</f>
        <v>490</v>
      </c>
      <c r="AG10" s="26">
        <f>'4.1 Comptes 2020 natures'!AG2</f>
        <v>1914</v>
      </c>
      <c r="AH10" s="26">
        <f>'4.1 Comptes 2020 natures'!AH2</f>
        <v>2615</v>
      </c>
      <c r="AI10" s="26">
        <f>'4.1 Comptes 2020 natures'!AI2</f>
        <v>227</v>
      </c>
      <c r="AJ10" s="26">
        <f>'4.1 Comptes 2020 natures'!AJ2</f>
        <v>131</v>
      </c>
      <c r="AK10" s="32">
        <f>'4.1 Comptes 2020 natures'!AK2</f>
        <v>1895</v>
      </c>
      <c r="AL10" s="32">
        <f>'4.1 Comptes 2020 natures'!AL2</f>
        <v>1135</v>
      </c>
      <c r="AM10" s="32">
        <f>'4.1 Comptes 2020 natures'!AM2</f>
        <v>1241</v>
      </c>
      <c r="AN10" s="32">
        <f>'4.1 Comptes 2020 natures'!AN2</f>
        <v>119</v>
      </c>
      <c r="AO10" s="32">
        <f>'4.1 Comptes 2020 natures'!AO2</f>
        <v>1195</v>
      </c>
      <c r="AP10" s="32">
        <f>'4.1 Comptes 2020 natures'!AP2</f>
        <v>663</v>
      </c>
      <c r="AQ10" s="32">
        <f>'4.1 Comptes 2020 natures'!AQ2</f>
        <v>645</v>
      </c>
      <c r="AR10" s="32">
        <f>'4.1 Comptes 2020 natures'!AR2</f>
        <v>1263</v>
      </c>
      <c r="AS10" s="32">
        <f>'4.1 Comptes 2020 natures'!AS2</f>
        <v>740</v>
      </c>
      <c r="AT10" s="32">
        <f>'4.1 Comptes 2020 natures'!AT2</f>
        <v>1028</v>
      </c>
      <c r="AU10" s="32">
        <f>'4.1 Comptes 2020 natures'!AU2</f>
        <v>314</v>
      </c>
      <c r="AV10" s="32">
        <f>'4.1 Comptes 2020 natures'!AV2</f>
        <v>2400</v>
      </c>
      <c r="AW10" s="32">
        <f>'4.1 Comptes 2020 natures'!AW2</f>
        <v>755</v>
      </c>
      <c r="AX10" s="32">
        <f>'4.1 Comptes 2020 natures'!AX2</f>
        <v>181</v>
      </c>
      <c r="AY10" s="32">
        <f>'4.1 Comptes 2020 natures'!AY2</f>
        <v>347</v>
      </c>
      <c r="AZ10" s="32">
        <f>'4.1 Comptes 2020 natures'!AZ2</f>
        <v>1690</v>
      </c>
      <c r="BA10" s="32">
        <f>'4.1 Comptes 2020 natures'!BA2</f>
        <v>387</v>
      </c>
      <c r="BB10" s="32">
        <f>'4.1 Comptes 2020 natures'!BB2</f>
        <v>1096</v>
      </c>
      <c r="BC10" s="16">
        <f>'4.1 Comptes 2020 natures'!BC2</f>
        <v>188</v>
      </c>
      <c r="BD10" s="16">
        <f>'4.1 Comptes 2020 natures'!BD2</f>
        <v>6434</v>
      </c>
      <c r="BE10" s="32">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7" t="s">
        <v>540</v>
      </c>
      <c r="B12" s="64"/>
      <c r="C12" s="67">
        <v>690</v>
      </c>
      <c r="D12" s="126">
        <f>'Base de données indicateurs1'!BF58</f>
        <v>36707355.689999998</v>
      </c>
      <c r="E12" s="4">
        <f>'Base de données indicateurs1'!E58</f>
        <v>593862.55000000005</v>
      </c>
      <c r="F12" s="4">
        <f>'Base de données indicateurs1'!F58</f>
        <v>5186.8500000000004</v>
      </c>
      <c r="G12" s="4">
        <f>'Base de données indicateurs1'!G58</f>
        <v>2700857.55</v>
      </c>
      <c r="H12" s="4">
        <f>'Base de données indicateurs1'!H58</f>
        <v>225335</v>
      </c>
      <c r="I12" s="4">
        <f>'Base de données indicateurs1'!I58</f>
        <v>2251481</v>
      </c>
      <c r="J12" s="4">
        <f>'Base de données indicateurs1'!J58</f>
        <v>2280577.79</v>
      </c>
      <c r="K12" s="4">
        <f>'Base de données indicateurs1'!K58</f>
        <v>1266529.24</v>
      </c>
      <c r="L12" s="4">
        <f>'Base de données indicateurs1'!L58</f>
        <v>10477858.529999999</v>
      </c>
      <c r="M12" s="4">
        <f>'Base de données indicateurs1'!M58</f>
        <v>184436.45</v>
      </c>
      <c r="N12" s="4">
        <f>'Base de données indicateurs1'!N58</f>
        <v>41267.75</v>
      </c>
      <c r="O12" s="4">
        <f>'Base de données indicateurs1'!O58</f>
        <v>2081646.1</v>
      </c>
      <c r="P12" s="4">
        <f>'Base de données indicateurs1'!P58</f>
        <v>175184.23</v>
      </c>
      <c r="Q12" s="4">
        <f>'Base de données indicateurs1'!Q58</f>
        <v>0</v>
      </c>
      <c r="R12" s="4">
        <f>'Base de données indicateurs1'!R58</f>
        <v>15814</v>
      </c>
      <c r="S12" s="4">
        <f>'Base de données indicateurs1'!S58</f>
        <v>171236.7</v>
      </c>
      <c r="T12" s="4">
        <f>'Base de données indicateurs1'!T58</f>
        <v>217977.15</v>
      </c>
      <c r="U12" s="4">
        <f>'Base de données indicateurs1'!U58</f>
        <v>82785</v>
      </c>
      <c r="V12" s="4">
        <f>'Base de données indicateurs1'!V58</f>
        <v>312999.09999999998</v>
      </c>
      <c r="W12" s="4">
        <f>'Base de données indicateurs1'!W58</f>
        <v>1022304.45</v>
      </c>
      <c r="X12" s="4">
        <f>'Base de données indicateurs1'!X58</f>
        <v>65578.350000000006</v>
      </c>
      <c r="Y12" s="4">
        <f>'Base de données indicateurs1'!Y58</f>
        <v>128183.25</v>
      </c>
      <c r="Z12" s="4">
        <f>'Base de données indicateurs1'!Z58</f>
        <v>503623.38</v>
      </c>
      <c r="AA12" s="4">
        <f>'Base de données indicateurs1'!AA58</f>
        <v>0</v>
      </c>
      <c r="AB12" s="4">
        <f>'Base de données indicateurs1'!AB58</f>
        <v>64645.15</v>
      </c>
      <c r="AC12" s="4">
        <f>'Base de données indicateurs1'!AC58</f>
        <v>100268.8</v>
      </c>
      <c r="AD12" s="4">
        <f>'Base de données indicateurs1'!AD58</f>
        <v>144435.91</v>
      </c>
      <c r="AE12" s="4">
        <f>'Base de données indicateurs1'!AE58</f>
        <v>40403.800000000003</v>
      </c>
      <c r="AF12" s="4">
        <f>'Base de données indicateurs1'!AF58</f>
        <v>727420.4</v>
      </c>
      <c r="AG12" s="4">
        <f>'Base de données indicateurs1'!AG58</f>
        <v>678259.1</v>
      </c>
      <c r="AH12" s="4">
        <f>'Base de données indicateurs1'!AH58</f>
        <v>347396.95</v>
      </c>
      <c r="AI12" s="4">
        <f>'Base de données indicateurs1'!AI58</f>
        <v>0</v>
      </c>
      <c r="AJ12" s="4">
        <f>'Base de données indicateurs1'!AJ58</f>
        <v>0</v>
      </c>
      <c r="AK12" s="4">
        <f>'Base de données indicateurs1'!AK58</f>
        <v>1969762.48</v>
      </c>
      <c r="AL12" s="4">
        <f>'Base de données indicateurs1'!AL58</f>
        <v>373870</v>
      </c>
      <c r="AM12" s="4">
        <f>'Base de données indicateurs1'!AM58</f>
        <v>293387.90000000002</v>
      </c>
      <c r="AN12" s="4">
        <f>'Base de données indicateurs1'!AN58</f>
        <v>612014</v>
      </c>
      <c r="AO12" s="4">
        <f>'Base de données indicateurs1'!AO58</f>
        <v>858933.3</v>
      </c>
      <c r="AP12" s="4">
        <f>'Base de données indicateurs1'!AP58</f>
        <v>387302.1</v>
      </c>
      <c r="AQ12" s="4">
        <f>'Base de données indicateurs1'!AQ58</f>
        <v>49042.1</v>
      </c>
      <c r="AR12" s="4">
        <f>'Base de données indicateurs1'!AR58</f>
        <v>449074.2</v>
      </c>
      <c r="AS12" s="4">
        <f>'Base de données indicateurs1'!AS58</f>
        <v>71436</v>
      </c>
      <c r="AT12" s="4">
        <f>'Base de données indicateurs1'!AT58</f>
        <v>236030.35</v>
      </c>
      <c r="AU12" s="4">
        <f>'Base de données indicateurs1'!AU58</f>
        <v>290607.3</v>
      </c>
      <c r="AV12" s="4">
        <f>'Base de données indicateurs1'!AV58</f>
        <v>617598.75</v>
      </c>
      <c r="AW12" s="4">
        <f>'Base de données indicateurs1'!AW58</f>
        <v>57242.400000000001</v>
      </c>
      <c r="AX12" s="4">
        <f>'Base de données indicateurs1'!AX58</f>
        <v>0</v>
      </c>
      <c r="AY12" s="4">
        <f>'Base de données indicateurs1'!AY58</f>
        <v>0</v>
      </c>
      <c r="AZ12" s="4">
        <f>'Base de données indicateurs1'!AZ58</f>
        <v>0</v>
      </c>
      <c r="BA12" s="4">
        <f>'Base de données indicateurs1'!BA58</f>
        <v>176794.95</v>
      </c>
      <c r="BB12" s="4">
        <f>'Base de données indicateurs1'!BB58</f>
        <v>374230.1</v>
      </c>
      <c r="BC12" s="4">
        <f>'Base de données indicateurs1'!BC58</f>
        <v>0</v>
      </c>
      <c r="BD12" s="4">
        <f>'Base de données indicateurs1'!BD58</f>
        <v>2976255.58</v>
      </c>
      <c r="BE12" s="4">
        <f>'Base de données indicateurs1'!BE58</f>
        <v>6219.65</v>
      </c>
      <c r="BF12" s="4">
        <f>SUM(E12:W12)</f>
        <v>24107339.439999998</v>
      </c>
      <c r="BG12" s="4">
        <f>SUM(X12:AJ12)</f>
        <v>2800215.0900000003</v>
      </c>
      <c r="BH12" s="4">
        <f>SUM(AK12:BE12)</f>
        <v>9799801.1599999983</v>
      </c>
    </row>
    <row r="13" spans="1:60" x14ac:dyDescent="0.25">
      <c r="B13" s="121"/>
      <c r="D13" s="4"/>
      <c r="BF13" s="4"/>
      <c r="BG13" s="4"/>
      <c r="BH13" s="4"/>
    </row>
    <row r="14" spans="1:60" x14ac:dyDescent="0.25">
      <c r="A14" s="111" t="s">
        <v>283</v>
      </c>
      <c r="B14" s="112" t="s">
        <v>231</v>
      </c>
      <c r="C14" s="111">
        <v>30</v>
      </c>
      <c r="D14" s="113">
        <f>'Base de données indicateurs1'!BF17</f>
        <v>62392442.430000007</v>
      </c>
      <c r="E14" s="4">
        <f>'Base de données indicateurs1'!E17</f>
        <v>470114.3</v>
      </c>
      <c r="F14" s="4">
        <f>'Base de données indicateurs1'!F17</f>
        <v>33790.6</v>
      </c>
      <c r="G14" s="4">
        <f>'Base de données indicateurs1'!G17</f>
        <v>132370.54999999999</v>
      </c>
      <c r="H14" s="4">
        <f>'Base de données indicateurs1'!H17</f>
        <v>234232.2</v>
      </c>
      <c r="I14" s="4">
        <f>'Base de données indicateurs1'!I17</f>
        <v>2614007</v>
      </c>
      <c r="J14" s="4">
        <f>'Base de données indicateurs1'!J17</f>
        <v>2914897.7</v>
      </c>
      <c r="K14" s="4">
        <f>'Base de données indicateurs1'!K17</f>
        <v>1052579.25</v>
      </c>
      <c r="L14" s="4">
        <f>'Base de données indicateurs1'!L17</f>
        <v>19606286.829999998</v>
      </c>
      <c r="M14" s="4">
        <f>'Base de données indicateurs1'!M17</f>
        <v>1235277.3</v>
      </c>
      <c r="N14" s="4">
        <f>'Base de données indicateurs1'!N17</f>
        <v>0</v>
      </c>
      <c r="O14" s="4">
        <f>'Base de données indicateurs1'!O17</f>
        <v>3355866.1</v>
      </c>
      <c r="P14" s="4">
        <f>'Base de données indicateurs1'!P17</f>
        <v>166881.04999999999</v>
      </c>
      <c r="Q14" s="4">
        <f>'Base de données indicateurs1'!Q17</f>
        <v>69596.649999999994</v>
      </c>
      <c r="R14" s="4">
        <f>'Base de données indicateurs1'!R17</f>
        <v>238242.75</v>
      </c>
      <c r="S14" s="4">
        <f>'Base de données indicateurs1'!S17</f>
        <v>120756.95</v>
      </c>
      <c r="T14" s="4">
        <f>'Base de données indicateurs1'!T17</f>
        <v>287755</v>
      </c>
      <c r="U14" s="4">
        <f>'Base de données indicateurs1'!U17</f>
        <v>106789</v>
      </c>
      <c r="V14" s="4">
        <f>'Base de données indicateurs1'!V17</f>
        <v>333879.65000000002</v>
      </c>
      <c r="W14" s="4">
        <f>'Base de données indicateurs1'!W17</f>
        <v>2111725.83</v>
      </c>
      <c r="X14" s="4">
        <f>'Base de données indicateurs1'!X17</f>
        <v>99579</v>
      </c>
      <c r="Y14" s="4">
        <f>'Base de données indicateurs1'!Y17</f>
        <v>1191421.6000000001</v>
      </c>
      <c r="Z14" s="4">
        <f>'Base de données indicateurs1'!Z17</f>
        <v>1513460.5</v>
      </c>
      <c r="AA14" s="4">
        <f>'Base de données indicateurs1'!AA17</f>
        <v>93557</v>
      </c>
      <c r="AB14" s="4">
        <f>'Base de données indicateurs1'!AB17</f>
        <v>58454.1</v>
      </c>
      <c r="AC14" s="4">
        <f>'Base de données indicateurs1'!AC17</f>
        <v>238202.45</v>
      </c>
      <c r="AD14" s="4">
        <f>'Base de données indicateurs1'!AD17</f>
        <v>545174.19999999995</v>
      </c>
      <c r="AE14" s="4">
        <f>'Base de données indicateurs1'!AE17</f>
        <v>297597.05</v>
      </c>
      <c r="AF14" s="4">
        <f>'Base de données indicateurs1'!AF17</f>
        <v>357056.9</v>
      </c>
      <c r="AG14" s="4">
        <f>'Base de données indicateurs1'!AG17</f>
        <v>837538.1</v>
      </c>
      <c r="AH14" s="4">
        <f>'Base de données indicateurs1'!AH17</f>
        <v>1592396</v>
      </c>
      <c r="AI14" s="4">
        <f>'Base de données indicateurs1'!AI17</f>
        <v>83492</v>
      </c>
      <c r="AJ14" s="4">
        <f>'Base de données indicateurs1'!AJ17</f>
        <v>58225.8</v>
      </c>
      <c r="AK14" s="4">
        <f>'Base de données indicateurs1'!AK17</f>
        <v>684219.85</v>
      </c>
      <c r="AL14" s="4">
        <f>'Base de données indicateurs1'!AL17</f>
        <v>420037</v>
      </c>
      <c r="AM14" s="4">
        <f>'Base de données indicateurs1'!AM17</f>
        <v>494732.75</v>
      </c>
      <c r="AN14" s="4">
        <f>'Base de données indicateurs1'!AN17</f>
        <v>66430.3</v>
      </c>
      <c r="AO14" s="4">
        <f>'Base de données indicateurs1'!AO17</f>
        <v>1213438.1399999999</v>
      </c>
      <c r="AP14" s="4">
        <f>'Base de données indicateurs1'!AP17</f>
        <v>784212.55</v>
      </c>
      <c r="AQ14" s="4">
        <f>'Base de données indicateurs1'!AQ17</f>
        <v>234203</v>
      </c>
      <c r="AR14" s="4">
        <f>'Base de données indicateurs1'!AR17</f>
        <v>1090599.7</v>
      </c>
      <c r="AS14" s="4">
        <f>'Base de données indicateurs1'!AS17</f>
        <v>440814.85</v>
      </c>
      <c r="AT14" s="4">
        <f>'Base de données indicateurs1'!AT17</f>
        <v>411550.05</v>
      </c>
      <c r="AU14" s="4">
        <f>'Base de données indicateurs1'!AU17</f>
        <v>107092.01</v>
      </c>
      <c r="AV14" s="4">
        <f>'Base de données indicateurs1'!AV17</f>
        <v>988286.2</v>
      </c>
      <c r="AW14" s="4">
        <f>'Base de données indicateurs1'!AW17</f>
        <v>451651.45</v>
      </c>
      <c r="AX14" s="4">
        <f>'Base de données indicateurs1'!AX17</f>
        <v>86578.74</v>
      </c>
      <c r="AY14" s="4">
        <f>'Base de données indicateurs1'!AY17</f>
        <v>136178.70000000001</v>
      </c>
      <c r="AZ14" s="4">
        <f>'Base de données indicateurs1'!AZ17</f>
        <v>861631.8</v>
      </c>
      <c r="BA14" s="4">
        <f>'Base de données indicateurs1'!BA17</f>
        <v>118392.9</v>
      </c>
      <c r="BB14" s="4">
        <f>'Base de données indicateurs1'!BB17</f>
        <v>1272093.46</v>
      </c>
      <c r="BC14" s="4">
        <f>'Base de données indicateurs1'!BC17</f>
        <v>72984.600000000006</v>
      </c>
      <c r="BD14" s="4">
        <f>'Base de données indicateurs1'!BD17</f>
        <v>10089330.32</v>
      </c>
      <c r="BE14" s="4">
        <f>'Base de données indicateurs1'!BE17</f>
        <v>316780.65000000002</v>
      </c>
      <c r="BF14" s="4">
        <f t="shared" ref="BF14:BF41" si="0">SUM(E14:W14)</f>
        <v>35085048.710000001</v>
      </c>
      <c r="BG14" s="4">
        <f t="shared" ref="BG14:BG41" si="1">SUM(X14:AJ14)</f>
        <v>6966154.7000000002</v>
      </c>
      <c r="BH14" s="4">
        <f t="shared" ref="BH14:BH41" si="2">SUM(AK14:BE14)</f>
        <v>20341239.019999996</v>
      </c>
    </row>
    <row r="15" spans="1:60" x14ac:dyDescent="0.25">
      <c r="A15" s="114" t="s">
        <v>541</v>
      </c>
      <c r="B15" s="115" t="s">
        <v>231</v>
      </c>
      <c r="C15" s="114">
        <v>31</v>
      </c>
      <c r="D15" s="116">
        <f>'Base de données indicateurs1'!BF18</f>
        <v>41966595.910000004</v>
      </c>
      <c r="E15" s="4">
        <f>'Base de données indicateurs1'!E18</f>
        <v>427006.53</v>
      </c>
      <c r="F15" s="4">
        <f>'Base de données indicateurs1'!F18</f>
        <v>109341.55</v>
      </c>
      <c r="G15" s="4">
        <f>'Base de données indicateurs1'!G18</f>
        <v>162658.44</v>
      </c>
      <c r="H15" s="4">
        <f>'Base de données indicateurs1'!H18</f>
        <v>169499.04</v>
      </c>
      <c r="I15" s="4">
        <f>'Base de données indicateurs1'!I18</f>
        <v>1351042</v>
      </c>
      <c r="J15" s="4">
        <f>'Base de données indicateurs1'!J18</f>
        <v>989580.55</v>
      </c>
      <c r="K15" s="4">
        <f>'Base de données indicateurs1'!K18</f>
        <v>870080.81</v>
      </c>
      <c r="L15" s="4">
        <f>'Base de données indicateurs1'!L18</f>
        <v>6472698.6500000004</v>
      </c>
      <c r="M15" s="4">
        <f>'Base de données indicateurs1'!M18</f>
        <v>455373.48</v>
      </c>
      <c r="N15" s="4">
        <f>'Base de données indicateurs1'!N18</f>
        <v>0</v>
      </c>
      <c r="O15" s="4">
        <f>'Base de données indicateurs1'!O18</f>
        <v>2262722.02</v>
      </c>
      <c r="P15" s="4">
        <f>'Base de données indicateurs1'!P18</f>
        <v>488433.9</v>
      </c>
      <c r="Q15" s="4">
        <f>'Base de données indicateurs1'!Q18</f>
        <v>47140</v>
      </c>
      <c r="R15" s="4">
        <f>'Base de données indicateurs1'!R18</f>
        <v>156580.06</v>
      </c>
      <c r="S15" s="4">
        <f>'Base de données indicateurs1'!S18</f>
        <v>386409.94</v>
      </c>
      <c r="T15" s="4">
        <f>'Base de données indicateurs1'!T18</f>
        <v>296090.25</v>
      </c>
      <c r="U15" s="4">
        <f>'Base de données indicateurs1'!U18</f>
        <v>142237</v>
      </c>
      <c r="V15" s="4">
        <f>'Base de données indicateurs1'!V18</f>
        <v>463620.3</v>
      </c>
      <c r="W15" s="4">
        <f>'Base de données indicateurs1'!W18</f>
        <v>1491682.19</v>
      </c>
      <c r="X15" s="4">
        <f>'Base de données indicateurs1'!X18</f>
        <v>490521</v>
      </c>
      <c r="Y15" s="4">
        <f>'Base de données indicateurs1'!Y18</f>
        <v>705013.06</v>
      </c>
      <c r="Z15" s="4">
        <f>'Base de données indicateurs1'!Z18</f>
        <v>1897606.49</v>
      </c>
      <c r="AA15" s="4">
        <f>'Base de données indicateurs1'!AA18</f>
        <v>81902</v>
      </c>
      <c r="AB15" s="4">
        <f>'Base de données indicateurs1'!AB18</f>
        <v>145386.71</v>
      </c>
      <c r="AC15" s="4">
        <f>'Base de données indicateurs1'!AC18</f>
        <v>521420.78</v>
      </c>
      <c r="AD15" s="4">
        <f>'Base de données indicateurs1'!AD18</f>
        <v>566829.05000000005</v>
      </c>
      <c r="AE15" s="4">
        <f>'Base de données indicateurs1'!AE18</f>
        <v>887967.67</v>
      </c>
      <c r="AF15" s="4">
        <f>'Base de données indicateurs1'!AF18</f>
        <v>923720.35</v>
      </c>
      <c r="AG15" s="4">
        <f>'Base de données indicateurs1'!AG18</f>
        <v>898217.02</v>
      </c>
      <c r="AH15" s="4">
        <f>'Base de données indicateurs1'!AH18</f>
        <v>1522013</v>
      </c>
      <c r="AI15" s="4">
        <f>'Base de données indicateurs1'!AI18</f>
        <v>104066</v>
      </c>
      <c r="AJ15" s="4">
        <f>'Base de données indicateurs1'!AJ18</f>
        <v>120434.1</v>
      </c>
      <c r="AK15" s="4">
        <f>'Base de données indicateurs1'!AK18</f>
        <v>900963.89</v>
      </c>
      <c r="AL15" s="4">
        <f>'Base de données indicateurs1'!AL18</f>
        <v>619988</v>
      </c>
      <c r="AM15" s="4">
        <f>'Base de données indicateurs1'!AM18</f>
        <v>1016617.37</v>
      </c>
      <c r="AN15" s="4">
        <f>'Base de données indicateurs1'!AN18</f>
        <v>135760.01</v>
      </c>
      <c r="AO15" s="4">
        <f>'Base de données indicateurs1'!AO18</f>
        <v>1214719.8500000001</v>
      </c>
      <c r="AP15" s="4">
        <f>'Base de données indicateurs1'!AP18</f>
        <v>215224.04</v>
      </c>
      <c r="AQ15" s="4">
        <f>'Base de données indicateurs1'!AQ18</f>
        <v>286519</v>
      </c>
      <c r="AR15" s="4">
        <f>'Base de données indicateurs1'!AR18</f>
        <v>990421.36</v>
      </c>
      <c r="AS15" s="4">
        <f>'Base de données indicateurs1'!AS18</f>
        <v>393121.48</v>
      </c>
      <c r="AT15" s="4">
        <f>'Base de données indicateurs1'!AT18</f>
        <v>437216.28</v>
      </c>
      <c r="AU15" s="4">
        <f>'Base de données indicateurs1'!AU18</f>
        <v>398705.82</v>
      </c>
      <c r="AV15" s="4">
        <f>'Base de données indicateurs1'!AV18</f>
        <v>1090158.54</v>
      </c>
      <c r="AW15" s="4">
        <f>'Base de données indicateurs1'!AW18</f>
        <v>438452.33</v>
      </c>
      <c r="AX15" s="4">
        <f>'Base de données indicateurs1'!AX18</f>
        <v>69188.600000000006</v>
      </c>
      <c r="AY15" s="4">
        <f>'Base de données indicateurs1'!AY18</f>
        <v>206333.94</v>
      </c>
      <c r="AZ15" s="4">
        <f>'Base de données indicateurs1'!AZ18</f>
        <v>650080.6</v>
      </c>
      <c r="BA15" s="4">
        <f>'Base de données indicateurs1'!BA18</f>
        <v>515024.4</v>
      </c>
      <c r="BB15" s="4">
        <f>'Base de données indicateurs1'!BB18</f>
        <v>1480527.4</v>
      </c>
      <c r="BC15" s="4">
        <f>'Base de données indicateurs1'!BC18</f>
        <v>137825.35999999999</v>
      </c>
      <c r="BD15" s="4">
        <f>'Base de données indicateurs1'!BD18</f>
        <v>4850554.4000000004</v>
      </c>
      <c r="BE15" s="4">
        <f>'Base de données indicateurs1'!BE18</f>
        <v>311899.3</v>
      </c>
      <c r="BF15" s="4">
        <f t="shared" si="0"/>
        <v>16742196.710000001</v>
      </c>
      <c r="BG15" s="4">
        <f t="shared" si="1"/>
        <v>8865097.2299999986</v>
      </c>
      <c r="BH15" s="4">
        <f t="shared" si="2"/>
        <v>16359301.970000001</v>
      </c>
    </row>
    <row r="16" spans="1:60" x14ac:dyDescent="0.25">
      <c r="A16" s="114" t="s">
        <v>286</v>
      </c>
      <c r="B16" s="115" t="s">
        <v>232</v>
      </c>
      <c r="C16" s="114">
        <v>3180</v>
      </c>
      <c r="D16" s="116">
        <f>'Base de données indicateurs1'!BF19</f>
        <v>-432404.06000000017</v>
      </c>
      <c r="E16" s="4">
        <f>'Base de données indicateurs1'!E19</f>
        <v>89412.95</v>
      </c>
      <c r="F16" s="4">
        <f>'Base de données indicateurs1'!F19</f>
        <v>-22573.3</v>
      </c>
      <c r="G16" s="4">
        <f>'Base de données indicateurs1'!G19</f>
        <v>0</v>
      </c>
      <c r="H16" s="4">
        <f>'Base de données indicateurs1'!H19</f>
        <v>0</v>
      </c>
      <c r="I16" s="4">
        <f>'Base de données indicateurs1'!I19</f>
        <v>0</v>
      </c>
      <c r="J16" s="4">
        <f>'Base de données indicateurs1'!J19</f>
        <v>69066.95</v>
      </c>
      <c r="K16" s="4">
        <f>'Base de données indicateurs1'!K19</f>
        <v>8573.0499999999993</v>
      </c>
      <c r="L16" s="4">
        <f>'Base de données indicateurs1'!L19</f>
        <v>-750000</v>
      </c>
      <c r="M16" s="4">
        <f>'Base de données indicateurs1'!M19</f>
        <v>-79432.399999999994</v>
      </c>
      <c r="N16" s="4">
        <f>'Base de données indicateurs1'!N19</f>
        <v>0</v>
      </c>
      <c r="O16" s="4">
        <f>'Base de données indicateurs1'!O19</f>
        <v>-356022.92</v>
      </c>
      <c r="P16" s="4">
        <f>'Base de données indicateurs1'!P19</f>
        <v>214.85</v>
      </c>
      <c r="Q16" s="4">
        <f>'Base de données indicateurs1'!Q19</f>
        <v>0</v>
      </c>
      <c r="R16" s="4">
        <f>'Base de données indicateurs1'!R19</f>
        <v>0</v>
      </c>
      <c r="S16" s="4">
        <f>'Base de données indicateurs1'!S19</f>
        <v>0</v>
      </c>
      <c r="T16" s="4">
        <f>'Base de données indicateurs1'!T19</f>
        <v>0</v>
      </c>
      <c r="U16" s="4">
        <f>'Base de données indicateurs1'!U19</f>
        <v>-2945.1</v>
      </c>
      <c r="V16" s="4">
        <f>'Base de données indicateurs1'!V19</f>
        <v>2081.6</v>
      </c>
      <c r="W16" s="4">
        <f>'Base de données indicateurs1'!W19</f>
        <v>51965.66</v>
      </c>
      <c r="X16" s="4">
        <f>'Base de données indicateurs1'!X19</f>
        <v>11000</v>
      </c>
      <c r="Y16" s="4">
        <f>'Base de données indicateurs1'!Y19</f>
        <v>0.5</v>
      </c>
      <c r="Z16" s="4">
        <f>'Base de données indicateurs1'!Z19</f>
        <v>0</v>
      </c>
      <c r="AA16" s="4">
        <f>'Base de données indicateurs1'!AA19</f>
        <v>0</v>
      </c>
      <c r="AB16" s="4">
        <f>'Base de données indicateurs1'!AB19</f>
        <v>0</v>
      </c>
      <c r="AC16" s="4">
        <f>'Base de données indicateurs1'!AC19</f>
        <v>20500</v>
      </c>
      <c r="AD16" s="4">
        <f>'Base de données indicateurs1'!AD19</f>
        <v>24341.87</v>
      </c>
      <c r="AE16" s="4">
        <f>'Base de données indicateurs1'!AE19</f>
        <v>0</v>
      </c>
      <c r="AF16" s="4">
        <f>'Base de données indicateurs1'!AF19</f>
        <v>7116.5</v>
      </c>
      <c r="AG16" s="4">
        <f>'Base de données indicateurs1'!AG19</f>
        <v>100</v>
      </c>
      <c r="AH16" s="4">
        <f>'Base de données indicateurs1'!AH19</f>
        <v>0</v>
      </c>
      <c r="AI16" s="4">
        <f>'Base de données indicateurs1'!AI19</f>
        <v>8346.4</v>
      </c>
      <c r="AJ16" s="4">
        <f>'Base de données indicateurs1'!AJ19</f>
        <v>0</v>
      </c>
      <c r="AK16" s="4">
        <f>'Base de données indicateurs1'!AK19</f>
        <v>64499.65</v>
      </c>
      <c r="AL16" s="4">
        <f>'Base de données indicateurs1'!AL19</f>
        <v>230770</v>
      </c>
      <c r="AM16" s="4">
        <f>'Base de données indicateurs1'!AM19</f>
        <v>36930</v>
      </c>
      <c r="AN16" s="4">
        <f>'Base de données indicateurs1'!AN19</f>
        <v>0</v>
      </c>
      <c r="AO16" s="4">
        <f>'Base de données indicateurs1'!AO19</f>
        <v>193723.5</v>
      </c>
      <c r="AP16" s="4">
        <f>'Base de données indicateurs1'!AP19</f>
        <v>-147064.94</v>
      </c>
      <c r="AQ16" s="4">
        <f>'Base de données indicateurs1'!AQ19</f>
        <v>0</v>
      </c>
      <c r="AR16" s="4">
        <f>'Base de données indicateurs1'!AR19</f>
        <v>0</v>
      </c>
      <c r="AS16" s="4">
        <f>'Base de données indicateurs1'!AS19</f>
        <v>12355.1</v>
      </c>
      <c r="AT16" s="4">
        <f>'Base de données indicateurs1'!AT19</f>
        <v>-30292.01</v>
      </c>
      <c r="AU16" s="4">
        <f>'Base de données indicateurs1'!AU19</f>
        <v>64000</v>
      </c>
      <c r="AV16" s="4">
        <f>'Base de données indicateurs1'!AV19</f>
        <v>0</v>
      </c>
      <c r="AW16" s="4">
        <f>'Base de données indicateurs1'!AW19</f>
        <v>4673.78</v>
      </c>
      <c r="AX16" s="4">
        <f>'Base de données indicateurs1'!AX19</f>
        <v>0</v>
      </c>
      <c r="AY16" s="4">
        <f>'Base de données indicateurs1'!AY19</f>
        <v>2015.25</v>
      </c>
      <c r="AZ16" s="4">
        <f>'Base de données indicateurs1'!AZ19</f>
        <v>0</v>
      </c>
      <c r="BA16" s="4">
        <f>'Base de données indicateurs1'!BA19</f>
        <v>0</v>
      </c>
      <c r="BB16" s="4">
        <f>'Base de données indicateurs1'!BB19</f>
        <v>33200</v>
      </c>
      <c r="BC16" s="4">
        <f>'Base de données indicateurs1'!BC19</f>
        <v>0</v>
      </c>
      <c r="BD16" s="4">
        <f>'Base de données indicateurs1'!BD19</f>
        <v>0</v>
      </c>
      <c r="BE16" s="4">
        <f>'Base de données indicateurs1'!BE19</f>
        <v>21039</v>
      </c>
      <c r="BF16" s="4">
        <f t="shared" si="0"/>
        <v>-989658.66000000015</v>
      </c>
      <c r="BG16" s="4">
        <f t="shared" si="1"/>
        <v>71405.26999999999</v>
      </c>
      <c r="BH16" s="4">
        <f t="shared" si="2"/>
        <v>485849.33</v>
      </c>
    </row>
    <row r="17" spans="1:60" x14ac:dyDescent="0.25">
      <c r="A17" s="114" t="s">
        <v>101</v>
      </c>
      <c r="B17" s="115" t="s">
        <v>231</v>
      </c>
      <c r="C17" s="114">
        <v>34</v>
      </c>
      <c r="D17" s="116">
        <f>'Base de données indicateurs1'!BF21</f>
        <v>7270594.0700000003</v>
      </c>
      <c r="E17" s="4">
        <f>'Base de données indicateurs1'!E21</f>
        <v>25957.09</v>
      </c>
      <c r="F17" s="4">
        <f>'Base de données indicateurs1'!F21</f>
        <v>53622.65</v>
      </c>
      <c r="G17" s="4">
        <f>'Base de données indicateurs1'!G21</f>
        <v>109242.38</v>
      </c>
      <c r="H17" s="4">
        <f>'Base de données indicateurs1'!H21</f>
        <v>79602.070000000007</v>
      </c>
      <c r="I17" s="4">
        <f>'Base de données indicateurs1'!I21</f>
        <v>167746</v>
      </c>
      <c r="J17" s="4">
        <f>'Base de données indicateurs1'!J21</f>
        <v>353755.02</v>
      </c>
      <c r="K17" s="4">
        <f>'Base de données indicateurs1'!K21</f>
        <v>190806.37</v>
      </c>
      <c r="L17" s="4">
        <f>'Base de données indicateurs1'!L21</f>
        <v>1293539.25</v>
      </c>
      <c r="M17" s="4">
        <f>'Base de données indicateurs1'!M21</f>
        <v>62498.61</v>
      </c>
      <c r="N17" s="4">
        <f>'Base de données indicateurs1'!N21</f>
        <v>0</v>
      </c>
      <c r="O17" s="4">
        <f>'Base de données indicateurs1'!O21</f>
        <v>409269.4</v>
      </c>
      <c r="P17" s="4">
        <f>'Base de données indicateurs1'!P21</f>
        <v>49806.81</v>
      </c>
      <c r="Q17" s="4">
        <f>'Base de données indicateurs1'!Q21</f>
        <v>9325.5300000000007</v>
      </c>
      <c r="R17" s="4">
        <f>'Base de données indicateurs1'!R21</f>
        <v>38513.269999999997</v>
      </c>
      <c r="S17" s="4">
        <f>'Base de données indicateurs1'!S21</f>
        <v>62506.13</v>
      </c>
      <c r="T17" s="4">
        <f>'Base de données indicateurs1'!T21</f>
        <v>106712.1</v>
      </c>
      <c r="U17" s="4">
        <f>'Base de données indicateurs1'!U21</f>
        <v>10641</v>
      </c>
      <c r="V17" s="4">
        <f>'Base de données indicateurs1'!V21</f>
        <v>64002.95</v>
      </c>
      <c r="W17" s="4">
        <f>'Base de données indicateurs1'!W21</f>
        <v>206751.8</v>
      </c>
      <c r="X17" s="4">
        <f>'Base de données indicateurs1'!X21</f>
        <v>17824</v>
      </c>
      <c r="Y17" s="4">
        <f>'Base de données indicateurs1'!Y21</f>
        <v>161629.54999999999</v>
      </c>
      <c r="Z17" s="4">
        <f>'Base de données indicateurs1'!Z21</f>
        <v>49245.58</v>
      </c>
      <c r="AA17" s="4">
        <f>'Base de données indicateurs1'!AA21</f>
        <v>4961</v>
      </c>
      <c r="AB17" s="4">
        <f>'Base de données indicateurs1'!AB21</f>
        <v>14428.89</v>
      </c>
      <c r="AC17" s="4">
        <f>'Base de données indicateurs1'!AC21</f>
        <v>36916.46</v>
      </c>
      <c r="AD17" s="4">
        <f>'Base de données indicateurs1'!AD21</f>
        <v>126012.01</v>
      </c>
      <c r="AE17" s="4">
        <f>'Base de données indicateurs1'!AE21</f>
        <v>38360.71</v>
      </c>
      <c r="AF17" s="4">
        <f>'Base de données indicateurs1'!AF21</f>
        <v>53662.75</v>
      </c>
      <c r="AG17" s="4">
        <f>'Base de données indicateurs1'!AG21</f>
        <v>135089.70000000001</v>
      </c>
      <c r="AH17" s="4">
        <f>'Base de données indicateurs1'!AH21</f>
        <v>309966</v>
      </c>
      <c r="AI17" s="4">
        <f>'Base de données indicateurs1'!AI21</f>
        <v>20703</v>
      </c>
      <c r="AJ17" s="4">
        <f>'Base de données indicateurs1'!AJ21</f>
        <v>42883.78</v>
      </c>
      <c r="AK17" s="4">
        <f>'Base de données indicateurs1'!AK21</f>
        <v>202458.52</v>
      </c>
      <c r="AL17" s="4">
        <f>'Base de données indicateurs1'!AL21</f>
        <v>35284</v>
      </c>
      <c r="AM17" s="4">
        <f>'Base de données indicateurs1'!AM21</f>
        <v>163768.79999999999</v>
      </c>
      <c r="AN17" s="4">
        <f>'Base de données indicateurs1'!AN21</f>
        <v>28646.12</v>
      </c>
      <c r="AO17" s="4">
        <f>'Base de données indicateurs1'!AO21</f>
        <v>251870.98</v>
      </c>
      <c r="AP17" s="4">
        <f>'Base de données indicateurs1'!AP21</f>
        <v>59393.55</v>
      </c>
      <c r="AQ17" s="4">
        <f>'Base de données indicateurs1'!AQ21</f>
        <v>47702</v>
      </c>
      <c r="AR17" s="4">
        <f>'Base de données indicateurs1'!AR21</f>
        <v>253950.22</v>
      </c>
      <c r="AS17" s="4">
        <f>'Base de données indicateurs1'!AS21</f>
        <v>105100.13</v>
      </c>
      <c r="AT17" s="4">
        <f>'Base de données indicateurs1'!AT21</f>
        <v>150456.45000000001</v>
      </c>
      <c r="AU17" s="4">
        <f>'Base de données indicateurs1'!AU21</f>
        <v>23204.25</v>
      </c>
      <c r="AV17" s="4">
        <f>'Base de données indicateurs1'!AV21</f>
        <v>205298.78</v>
      </c>
      <c r="AW17" s="4">
        <f>'Base de données indicateurs1'!AW21</f>
        <v>48284.98</v>
      </c>
      <c r="AX17" s="4">
        <f>'Base de données indicateurs1'!AX21</f>
        <v>12648.8</v>
      </c>
      <c r="AY17" s="4">
        <f>'Base de données indicateurs1'!AY21</f>
        <v>16514.060000000001</v>
      </c>
      <c r="AZ17" s="4">
        <f>'Base de données indicateurs1'!AZ21</f>
        <v>249349.03</v>
      </c>
      <c r="BA17" s="4">
        <f>'Base de données indicateurs1'!BA21</f>
        <v>12565.11</v>
      </c>
      <c r="BB17" s="4">
        <f>'Base de données indicateurs1'!BB21</f>
        <v>114102.89</v>
      </c>
      <c r="BC17" s="4">
        <f>'Base de données indicateurs1'!BC21</f>
        <v>450.2</v>
      </c>
      <c r="BD17" s="4">
        <f>'Base de données indicateurs1'!BD21</f>
        <v>962411.89</v>
      </c>
      <c r="BE17" s="4">
        <f>'Base de données indicateurs1'!BE21</f>
        <v>21151.45</v>
      </c>
      <c r="BF17" s="4">
        <f t="shared" si="0"/>
        <v>3294298.4299999997</v>
      </c>
      <c r="BG17" s="4">
        <f t="shared" si="1"/>
        <v>1011683.4300000002</v>
      </c>
      <c r="BH17" s="4">
        <f t="shared" si="2"/>
        <v>2964612.21</v>
      </c>
    </row>
    <row r="18" spans="1:60" x14ac:dyDescent="0.25">
      <c r="A18" s="114" t="s">
        <v>106</v>
      </c>
      <c r="B18" s="115" t="s">
        <v>232</v>
      </c>
      <c r="C18" s="114">
        <v>344</v>
      </c>
      <c r="D18" s="116">
        <f>'Base de données indicateurs1'!BF23</f>
        <v>73615.600000000006</v>
      </c>
      <c r="E18" s="4">
        <f>'Base de données indicateurs1'!E23</f>
        <v>0</v>
      </c>
      <c r="F18" s="4">
        <f>'Base de données indicateurs1'!F23</f>
        <v>0</v>
      </c>
      <c r="G18" s="4">
        <f>'Base de données indicateurs1'!G23</f>
        <v>0</v>
      </c>
      <c r="H18" s="4">
        <f>'Base de données indicateurs1'!H23</f>
        <v>0</v>
      </c>
      <c r="I18" s="4">
        <f>'Base de données indicateurs1'!I23</f>
        <v>0</v>
      </c>
      <c r="J18" s="4">
        <f>'Base de données indicateurs1'!J23</f>
        <v>31600</v>
      </c>
      <c r="K18" s="4">
        <f>'Base de données indicateurs1'!K23</f>
        <v>2471.9</v>
      </c>
      <c r="L18" s="4">
        <f>'Base de données indicateurs1'!L23</f>
        <v>600</v>
      </c>
      <c r="M18" s="4">
        <f>'Base de données indicateurs1'!M23</f>
        <v>0</v>
      </c>
      <c r="N18" s="4">
        <f>'Base de données indicateurs1'!N23</f>
        <v>0</v>
      </c>
      <c r="O18" s="4">
        <f>'Base de données indicateurs1'!O23</f>
        <v>4462.8999999999996</v>
      </c>
      <c r="P18" s="4">
        <f>'Base de données indicateurs1'!P23</f>
        <v>0</v>
      </c>
      <c r="Q18" s="4">
        <f>'Base de données indicateurs1'!Q23</f>
        <v>40</v>
      </c>
      <c r="R18" s="4">
        <f>'Base de données indicateurs1'!R23</f>
        <v>0</v>
      </c>
      <c r="S18" s="4">
        <f>'Base de données indicateurs1'!S23</f>
        <v>4800</v>
      </c>
      <c r="T18" s="4">
        <f>'Base de données indicateurs1'!T23</f>
        <v>12853.8</v>
      </c>
      <c r="U18" s="4">
        <f>'Base de données indicateurs1'!U23</f>
        <v>0</v>
      </c>
      <c r="V18" s="4">
        <f>'Base de données indicateurs1'!V23</f>
        <v>0</v>
      </c>
      <c r="W18" s="4">
        <f>'Base de données indicateurs1'!W23</f>
        <v>0</v>
      </c>
      <c r="X18" s="4">
        <f>'Base de données indicateurs1'!X23</f>
        <v>0</v>
      </c>
      <c r="Y18" s="4">
        <f>'Base de données indicateurs1'!Y23</f>
        <v>0</v>
      </c>
      <c r="Z18" s="4">
        <f>'Base de données indicateurs1'!Z23</f>
        <v>0</v>
      </c>
      <c r="AA18" s="4">
        <f>'Base de données indicateurs1'!AA23</f>
        <v>0</v>
      </c>
      <c r="AB18" s="4">
        <f>'Base de données indicateurs1'!AB23</f>
        <v>0</v>
      </c>
      <c r="AC18" s="4">
        <f>'Base de données indicateurs1'!AC23</f>
        <v>0</v>
      </c>
      <c r="AD18" s="4">
        <f>'Base de données indicateurs1'!AD23</f>
        <v>40</v>
      </c>
      <c r="AE18" s="4">
        <f>'Base de données indicateurs1'!AE23</f>
        <v>200</v>
      </c>
      <c r="AF18" s="4">
        <f>'Base de données indicateurs1'!AF23</f>
        <v>0</v>
      </c>
      <c r="AG18" s="4">
        <f>'Base de données indicateurs1'!AG23</f>
        <v>0</v>
      </c>
      <c r="AH18" s="4">
        <f>'Base de données indicateurs1'!AH23</f>
        <v>0</v>
      </c>
      <c r="AI18" s="4">
        <f>'Base de données indicateurs1'!AI23</f>
        <v>5130.8500000000004</v>
      </c>
      <c r="AJ18" s="4">
        <f>'Base de données indicateurs1'!AJ23</f>
        <v>0</v>
      </c>
      <c r="AK18" s="4">
        <f>'Base de données indicateurs1'!AK23</f>
        <v>0</v>
      </c>
      <c r="AL18" s="4">
        <f>'Base de données indicateurs1'!AL23</f>
        <v>0</v>
      </c>
      <c r="AM18" s="4">
        <f>'Base de données indicateurs1'!AM23</f>
        <v>0</v>
      </c>
      <c r="AN18" s="4">
        <f>'Base de données indicateurs1'!AN23</f>
        <v>0</v>
      </c>
      <c r="AO18" s="4">
        <f>'Base de données indicateurs1'!AO23</f>
        <v>0</v>
      </c>
      <c r="AP18" s="4">
        <f>'Base de données indicateurs1'!AP23</f>
        <v>0</v>
      </c>
      <c r="AQ18" s="4">
        <f>'Base de données indicateurs1'!AQ23</f>
        <v>0</v>
      </c>
      <c r="AR18" s="4">
        <f>'Base de données indicateurs1'!AR23</f>
        <v>0</v>
      </c>
      <c r="AS18" s="4">
        <f>'Base de données indicateurs1'!AS23</f>
        <v>22.15</v>
      </c>
      <c r="AT18" s="4">
        <f>'Base de données indicateurs1'!AT23</f>
        <v>0</v>
      </c>
      <c r="AU18" s="4">
        <f>'Base de données indicateurs1'!AU23</f>
        <v>0</v>
      </c>
      <c r="AV18" s="4">
        <f>'Base de données indicateurs1'!AV23</f>
        <v>4999</v>
      </c>
      <c r="AW18" s="4">
        <f>'Base de données indicateurs1'!AW23</f>
        <v>0</v>
      </c>
      <c r="AX18" s="4">
        <f>'Base de données indicateurs1'!AX23</f>
        <v>5300</v>
      </c>
      <c r="AY18" s="4">
        <f>'Base de données indicateurs1'!AY23</f>
        <v>0</v>
      </c>
      <c r="AZ18" s="4">
        <f>'Base de données indicateurs1'!AZ23</f>
        <v>0</v>
      </c>
      <c r="BA18" s="4">
        <f>'Base de données indicateurs1'!BA23</f>
        <v>0</v>
      </c>
      <c r="BB18" s="4">
        <f>'Base de données indicateurs1'!BB23</f>
        <v>1080</v>
      </c>
      <c r="BC18" s="4">
        <f>'Base de données indicateurs1'!BC23</f>
        <v>15</v>
      </c>
      <c r="BD18" s="4">
        <f>'Base de données indicateurs1'!BD23</f>
        <v>0</v>
      </c>
      <c r="BE18" s="4">
        <f>'Base de données indicateurs1'!BE23</f>
        <v>0</v>
      </c>
      <c r="BF18" s="4">
        <f t="shared" si="0"/>
        <v>56828.600000000006</v>
      </c>
      <c r="BG18" s="4">
        <f t="shared" si="1"/>
        <v>5370.85</v>
      </c>
      <c r="BH18" s="4">
        <f t="shared" si="2"/>
        <v>11416.15</v>
      </c>
    </row>
    <row r="19" spans="1:60" x14ac:dyDescent="0.25">
      <c r="A19" s="114" t="s">
        <v>293</v>
      </c>
      <c r="B19" s="115" t="s">
        <v>231</v>
      </c>
      <c r="C19" s="114">
        <v>36</v>
      </c>
      <c r="D19" s="116">
        <f>'Base de données indicateurs1'!BF25</f>
        <v>172100466.74999994</v>
      </c>
      <c r="E19" s="4">
        <f>'Base de données indicateurs1'!E25</f>
        <v>1999065.78</v>
      </c>
      <c r="F19" s="4">
        <f>'Base de données indicateurs1'!F25</f>
        <v>576026.65</v>
      </c>
      <c r="G19" s="4">
        <f>'Base de données indicateurs1'!G25</f>
        <v>1159845.23</v>
      </c>
      <c r="H19" s="4">
        <f>'Base de données indicateurs1'!H25</f>
        <v>843401.01</v>
      </c>
      <c r="I19" s="4">
        <f>'Base de données indicateurs1'!I25</f>
        <v>6545591</v>
      </c>
      <c r="J19" s="4">
        <f>'Base de données indicateurs1'!J25</f>
        <v>6377951.0800000001</v>
      </c>
      <c r="K19" s="4">
        <f>'Base de données indicateurs1'!K25</f>
        <v>6076386.7599999998</v>
      </c>
      <c r="L19" s="4">
        <f>'Base de données indicateurs1'!L25</f>
        <v>34426017.450000003</v>
      </c>
      <c r="M19" s="4">
        <f>'Base de données indicateurs1'!M25</f>
        <v>2891860.82</v>
      </c>
      <c r="N19" s="4">
        <f>'Base de données indicateurs1'!N25</f>
        <v>0</v>
      </c>
      <c r="O19" s="4">
        <f>'Base de données indicateurs1'!O25</f>
        <v>15252198.060000001</v>
      </c>
      <c r="P19" s="4">
        <f>'Base de données indicateurs1'!P25</f>
        <v>1094747.1000000001</v>
      </c>
      <c r="Q19" s="4">
        <f>'Base de données indicateurs1'!Q25</f>
        <v>239708.1</v>
      </c>
      <c r="R19" s="4">
        <f>'Base de données indicateurs1'!R25</f>
        <v>862630.35</v>
      </c>
      <c r="S19" s="4">
        <f>'Base de données indicateurs1'!S25</f>
        <v>719129.4</v>
      </c>
      <c r="T19" s="4">
        <f>'Base de données indicateurs1'!T25</f>
        <v>1411870.5</v>
      </c>
      <c r="U19" s="4">
        <f>'Base de données indicateurs1'!U25</f>
        <v>568635</v>
      </c>
      <c r="V19" s="4">
        <f>'Base de données indicateurs1'!V25</f>
        <v>1206071.1299999999</v>
      </c>
      <c r="W19" s="4">
        <f>'Base de données indicateurs1'!W25</f>
        <v>5823642.21</v>
      </c>
      <c r="X19" s="4">
        <f>'Base de données indicateurs1'!X25</f>
        <v>637067</v>
      </c>
      <c r="Y19" s="4">
        <f>'Base de données indicateurs1'!Y25</f>
        <v>2728584.74</v>
      </c>
      <c r="Z19" s="4">
        <f>'Base de données indicateurs1'!Z25</f>
        <v>5878218.6100000003</v>
      </c>
      <c r="AA19" s="4">
        <f>'Base de données indicateurs1'!AA25</f>
        <v>197997</v>
      </c>
      <c r="AB19" s="4">
        <f>'Base de données indicateurs1'!AB25</f>
        <v>320531.08</v>
      </c>
      <c r="AC19" s="4">
        <f>'Base de données indicateurs1'!AC25</f>
        <v>1309529.98</v>
      </c>
      <c r="AD19" s="4">
        <f>'Base de données indicateurs1'!AD25</f>
        <v>1583761.05</v>
      </c>
      <c r="AE19" s="4">
        <f>'Base de données indicateurs1'!AE25</f>
        <v>1252974.6399999999</v>
      </c>
      <c r="AF19" s="4">
        <f>'Base de données indicateurs1'!AF25</f>
        <v>1188304.51</v>
      </c>
      <c r="AG19" s="4">
        <f>'Base de données indicateurs1'!AG25</f>
        <v>4829110.0199999996</v>
      </c>
      <c r="AH19" s="4">
        <f>'Base de données indicateurs1'!AH25</f>
        <v>5432323</v>
      </c>
      <c r="AI19" s="4">
        <f>'Base de données indicateurs1'!AI25</f>
        <v>475508</v>
      </c>
      <c r="AJ19" s="4">
        <f>'Base de données indicateurs1'!AJ25</f>
        <v>258095.72</v>
      </c>
      <c r="AK19" s="4">
        <f>'Base de données indicateurs1'!AK25</f>
        <v>4576125.83</v>
      </c>
      <c r="AL19" s="4">
        <f>'Base de données indicateurs1'!AL25</f>
        <v>402529</v>
      </c>
      <c r="AM19" s="4">
        <f>'Base de données indicateurs1'!AM25</f>
        <v>2583987</v>
      </c>
      <c r="AN19" s="4">
        <f>'Base de données indicateurs1'!AN25</f>
        <v>312725.96999999997</v>
      </c>
      <c r="AO19" s="4">
        <f>'Base de données indicateurs1'!AO25</f>
        <v>4537846.6900000004</v>
      </c>
      <c r="AP19" s="4">
        <f>'Base de données indicateurs1'!AP25</f>
        <v>1679129.55</v>
      </c>
      <c r="AQ19" s="4">
        <f>'Base de données indicateurs1'!AQ25</f>
        <v>1310051</v>
      </c>
      <c r="AR19" s="4">
        <f>'Base de données indicateurs1'!AR25</f>
        <v>2970777.7</v>
      </c>
      <c r="AS19" s="4">
        <f>'Base de données indicateurs1'!AS25</f>
        <v>1483835.4</v>
      </c>
      <c r="AT19" s="4">
        <f>'Base de données indicateurs1'!AT25</f>
        <v>2633624.35</v>
      </c>
      <c r="AU19" s="4">
        <f>'Base de données indicateurs1'!AU25</f>
        <v>770045</v>
      </c>
      <c r="AV19" s="4">
        <f>'Base de données indicateurs1'!AV25</f>
        <v>5209458.53</v>
      </c>
      <c r="AW19" s="4">
        <f>'Base de données indicateurs1'!AW25</f>
        <v>1586217.05</v>
      </c>
      <c r="AX19" s="4">
        <f>'Base de données indicateurs1'!AX25</f>
        <v>390124.75</v>
      </c>
      <c r="AY19" s="4">
        <f>'Base de données indicateurs1'!AY25</f>
        <v>671138.15</v>
      </c>
      <c r="AZ19" s="4">
        <f>'Base de données indicateurs1'!AZ25</f>
        <v>3774199.92</v>
      </c>
      <c r="BA19" s="4">
        <f>'Base de données indicateurs1'!BA25</f>
        <v>841600.12</v>
      </c>
      <c r="BB19" s="4">
        <f>'Base de données indicateurs1'!BB25</f>
        <v>2700481.75</v>
      </c>
      <c r="BC19" s="4">
        <f>'Base de données indicateurs1'!BC25</f>
        <v>409932.67</v>
      </c>
      <c r="BD19" s="4">
        <f>'Base de données indicateurs1'!BD25</f>
        <v>17780151.140000001</v>
      </c>
      <c r="BE19" s="4">
        <f>'Base de données indicateurs1'!BE25</f>
        <v>1309702.2</v>
      </c>
      <c r="BF19" s="4">
        <f t="shared" si="0"/>
        <v>88074777.62999998</v>
      </c>
      <c r="BG19" s="4">
        <f t="shared" si="1"/>
        <v>26092005.350000001</v>
      </c>
      <c r="BH19" s="4">
        <f t="shared" si="2"/>
        <v>57933683.770000003</v>
      </c>
    </row>
    <row r="20" spans="1:60" x14ac:dyDescent="0.25">
      <c r="A20" s="114" t="s">
        <v>542</v>
      </c>
      <c r="B20" s="115" t="s">
        <v>232</v>
      </c>
      <c r="C20" s="114">
        <v>364</v>
      </c>
      <c r="D20" s="116">
        <f>'Base de données indicateurs1'!BF28</f>
        <v>0</v>
      </c>
      <c r="E20" s="4">
        <f>'Base de données indicateurs1'!E28</f>
        <v>0</v>
      </c>
      <c r="F20" s="4">
        <f>'Base de données indicateurs1'!F28</f>
        <v>0</v>
      </c>
      <c r="G20" s="4">
        <f>'Base de données indicateurs1'!G28</f>
        <v>0</v>
      </c>
      <c r="H20" s="4">
        <f>'Base de données indicateurs1'!H28</f>
        <v>0</v>
      </c>
      <c r="I20" s="4">
        <f>'Base de données indicateurs1'!I28</f>
        <v>0</v>
      </c>
      <c r="J20" s="4">
        <f>'Base de données indicateurs1'!J28</f>
        <v>0</v>
      </c>
      <c r="K20" s="4">
        <f>'Base de données indicateurs1'!K28</f>
        <v>0</v>
      </c>
      <c r="L20" s="4">
        <f>'Base de données indicateurs1'!L28</f>
        <v>0</v>
      </c>
      <c r="M20" s="4">
        <f>'Base de données indicateurs1'!M28</f>
        <v>0</v>
      </c>
      <c r="N20" s="4">
        <f>'Base de données indicateurs1'!N28</f>
        <v>0</v>
      </c>
      <c r="O20" s="4">
        <f>'Base de données indicateurs1'!O28</f>
        <v>0</v>
      </c>
      <c r="P20" s="4">
        <f>'Base de données indicateurs1'!P28</f>
        <v>0</v>
      </c>
      <c r="Q20" s="4">
        <f>'Base de données indicateurs1'!Q28</f>
        <v>0</v>
      </c>
      <c r="R20" s="4">
        <f>'Base de données indicateurs1'!R28</f>
        <v>0</v>
      </c>
      <c r="S20" s="4">
        <f>'Base de données indicateurs1'!S28</f>
        <v>0</v>
      </c>
      <c r="T20" s="4">
        <f>'Base de données indicateurs1'!T28</f>
        <v>0</v>
      </c>
      <c r="U20" s="4">
        <f>'Base de données indicateurs1'!U28</f>
        <v>0</v>
      </c>
      <c r="V20" s="4">
        <f>'Base de données indicateurs1'!V28</f>
        <v>0</v>
      </c>
      <c r="W20" s="4">
        <f>'Base de données indicateurs1'!W28</f>
        <v>0</v>
      </c>
      <c r="X20" s="4">
        <f>'Base de données indicateurs1'!X28</f>
        <v>0</v>
      </c>
      <c r="Y20" s="4">
        <f>'Base de données indicateurs1'!Y28</f>
        <v>0</v>
      </c>
      <c r="Z20" s="4">
        <f>'Base de données indicateurs1'!Z28</f>
        <v>0</v>
      </c>
      <c r="AA20" s="4">
        <f>'Base de données indicateurs1'!AA28</f>
        <v>0</v>
      </c>
      <c r="AB20" s="4">
        <f>'Base de données indicateurs1'!AB28</f>
        <v>0</v>
      </c>
      <c r="AC20" s="4">
        <f>'Base de données indicateurs1'!AC28</f>
        <v>0</v>
      </c>
      <c r="AD20" s="4">
        <f>'Base de données indicateurs1'!AD28</f>
        <v>0</v>
      </c>
      <c r="AE20" s="4">
        <f>'Base de données indicateurs1'!AE28</f>
        <v>0</v>
      </c>
      <c r="AF20" s="4">
        <f>'Base de données indicateurs1'!AF28</f>
        <v>0</v>
      </c>
      <c r="AG20" s="4">
        <f>'Base de données indicateurs1'!AG28</f>
        <v>0</v>
      </c>
      <c r="AH20" s="4">
        <f>'Base de données indicateurs1'!AH28</f>
        <v>0</v>
      </c>
      <c r="AI20" s="4">
        <f>'Base de données indicateurs1'!AI28</f>
        <v>0</v>
      </c>
      <c r="AJ20" s="4">
        <f>'Base de données indicateurs1'!AJ28</f>
        <v>0</v>
      </c>
      <c r="AK20" s="4">
        <f>'Base de données indicateurs1'!AK28</f>
        <v>0</v>
      </c>
      <c r="AL20" s="4">
        <f>'Base de données indicateurs1'!AL28</f>
        <v>0</v>
      </c>
      <c r="AM20" s="4">
        <f>'Base de données indicateurs1'!AM28</f>
        <v>0</v>
      </c>
      <c r="AN20" s="4">
        <f>'Base de données indicateurs1'!AN28</f>
        <v>0</v>
      </c>
      <c r="AO20" s="4">
        <f>'Base de données indicateurs1'!AO28</f>
        <v>0</v>
      </c>
      <c r="AP20" s="4">
        <f>'Base de données indicateurs1'!AP28</f>
        <v>0</v>
      </c>
      <c r="AQ20" s="4">
        <f>'Base de données indicateurs1'!AQ28</f>
        <v>0</v>
      </c>
      <c r="AR20" s="4">
        <f>'Base de données indicateurs1'!AR28</f>
        <v>0</v>
      </c>
      <c r="AS20" s="4">
        <f>'Base de données indicateurs1'!AS28</f>
        <v>0</v>
      </c>
      <c r="AT20" s="4">
        <f>'Base de données indicateurs1'!AT28</f>
        <v>0</v>
      </c>
      <c r="AU20" s="4">
        <f>'Base de données indicateurs1'!AU28</f>
        <v>0</v>
      </c>
      <c r="AV20" s="4">
        <f>'Base de données indicateurs1'!AV28</f>
        <v>0</v>
      </c>
      <c r="AW20" s="4">
        <f>'Base de données indicateurs1'!AW28</f>
        <v>0</v>
      </c>
      <c r="AX20" s="4">
        <f>'Base de données indicateurs1'!AX28</f>
        <v>0</v>
      </c>
      <c r="AY20" s="4">
        <f>'Base de données indicateurs1'!AY28</f>
        <v>0</v>
      </c>
      <c r="AZ20" s="4">
        <f>'Base de données indicateurs1'!AZ28</f>
        <v>0</v>
      </c>
      <c r="BA20" s="4">
        <f>'Base de données indicateurs1'!BA28</f>
        <v>0</v>
      </c>
      <c r="BB20" s="4">
        <f>'Base de données indicateurs1'!BB28</f>
        <v>0</v>
      </c>
      <c r="BC20" s="4">
        <f>'Base de données indicateurs1'!BC28</f>
        <v>0</v>
      </c>
      <c r="BD20" s="4">
        <f>'Base de données indicateurs1'!BD28</f>
        <v>0</v>
      </c>
      <c r="BE20" s="4">
        <f>'Base de données indicateurs1'!BE28</f>
        <v>0</v>
      </c>
      <c r="BF20" s="4">
        <f t="shared" si="0"/>
        <v>0</v>
      </c>
      <c r="BG20" s="4">
        <f t="shared" si="1"/>
        <v>0</v>
      </c>
      <c r="BH20" s="4">
        <f t="shared" si="2"/>
        <v>0</v>
      </c>
    </row>
    <row r="21" spans="1:60" x14ac:dyDescent="0.25">
      <c r="A21" s="114" t="s">
        <v>116</v>
      </c>
      <c r="B21" s="115" t="s">
        <v>232</v>
      </c>
      <c r="C21" s="122">
        <v>365</v>
      </c>
      <c r="D21" s="116">
        <f>'Base de données indicateurs1'!BF29</f>
        <v>8100</v>
      </c>
      <c r="E21" s="4">
        <f>'Base de données indicateurs1'!E29</f>
        <v>0</v>
      </c>
      <c r="F21" s="4">
        <f>'Base de données indicateurs1'!F29</f>
        <v>0</v>
      </c>
      <c r="G21" s="4">
        <f>'Base de données indicateurs1'!G29</f>
        <v>0</v>
      </c>
      <c r="H21" s="4">
        <f>'Base de données indicateurs1'!H29</f>
        <v>0</v>
      </c>
      <c r="I21" s="4">
        <f>'Base de données indicateurs1'!I29</f>
        <v>0</v>
      </c>
      <c r="J21" s="4">
        <f>'Base de données indicateurs1'!J29</f>
        <v>0</v>
      </c>
      <c r="K21" s="4">
        <f>'Base de données indicateurs1'!K29</f>
        <v>0</v>
      </c>
      <c r="L21" s="4">
        <f>'Base de données indicateurs1'!L29</f>
        <v>0</v>
      </c>
      <c r="M21" s="4">
        <f>'Base de données indicateurs1'!M29</f>
        <v>0</v>
      </c>
      <c r="N21" s="4">
        <f>'Base de données indicateurs1'!N29</f>
        <v>0</v>
      </c>
      <c r="O21" s="4">
        <f>'Base de données indicateurs1'!O29</f>
        <v>0</v>
      </c>
      <c r="P21" s="4">
        <f>'Base de données indicateurs1'!P29</f>
        <v>0</v>
      </c>
      <c r="Q21" s="4">
        <f>'Base de données indicateurs1'!Q29</f>
        <v>0</v>
      </c>
      <c r="R21" s="4">
        <f>'Base de données indicateurs1'!R29</f>
        <v>0</v>
      </c>
      <c r="S21" s="4">
        <f>'Base de données indicateurs1'!S29</f>
        <v>0</v>
      </c>
      <c r="T21" s="4">
        <f>'Base de données indicateurs1'!T29</f>
        <v>0</v>
      </c>
      <c r="U21" s="4">
        <f>'Base de données indicateurs1'!U29</f>
        <v>8100</v>
      </c>
      <c r="V21" s="4">
        <f>'Base de données indicateurs1'!V29</f>
        <v>0</v>
      </c>
      <c r="W21" s="4">
        <f>'Base de données indicateurs1'!W29</f>
        <v>0</v>
      </c>
      <c r="X21" s="4">
        <f>'Base de données indicateurs1'!X29</f>
        <v>0</v>
      </c>
      <c r="Y21" s="4">
        <f>'Base de données indicateurs1'!Y29</f>
        <v>0</v>
      </c>
      <c r="Z21" s="4">
        <f>'Base de données indicateurs1'!Z29</f>
        <v>0</v>
      </c>
      <c r="AA21" s="4">
        <f>'Base de données indicateurs1'!AA29</f>
        <v>0</v>
      </c>
      <c r="AB21" s="4">
        <f>'Base de données indicateurs1'!AB29</f>
        <v>0</v>
      </c>
      <c r="AC21" s="4">
        <f>'Base de données indicateurs1'!AC29</f>
        <v>0</v>
      </c>
      <c r="AD21" s="4">
        <f>'Base de données indicateurs1'!AD29</f>
        <v>0</v>
      </c>
      <c r="AE21" s="4">
        <f>'Base de données indicateurs1'!AE29</f>
        <v>0</v>
      </c>
      <c r="AF21" s="4">
        <f>'Base de données indicateurs1'!AF29</f>
        <v>0</v>
      </c>
      <c r="AG21" s="4">
        <f>'Base de données indicateurs1'!AG29</f>
        <v>0</v>
      </c>
      <c r="AH21" s="4">
        <f>'Base de données indicateurs1'!AH29</f>
        <v>0</v>
      </c>
      <c r="AI21" s="4">
        <f>'Base de données indicateurs1'!AI29</f>
        <v>0</v>
      </c>
      <c r="AJ21" s="4">
        <f>'Base de données indicateurs1'!AJ29</f>
        <v>0</v>
      </c>
      <c r="AK21" s="4">
        <f>'Base de données indicateurs1'!AK29</f>
        <v>0</v>
      </c>
      <c r="AL21" s="4">
        <f>'Base de données indicateurs1'!AL29</f>
        <v>0</v>
      </c>
      <c r="AM21" s="4">
        <f>'Base de données indicateurs1'!AM29</f>
        <v>0</v>
      </c>
      <c r="AN21" s="4">
        <f>'Base de données indicateurs1'!AN29</f>
        <v>0</v>
      </c>
      <c r="AO21" s="4">
        <f>'Base de données indicateurs1'!AO29</f>
        <v>0</v>
      </c>
      <c r="AP21" s="4">
        <f>'Base de données indicateurs1'!AP29</f>
        <v>0</v>
      </c>
      <c r="AQ21" s="4">
        <f>'Base de données indicateurs1'!AQ29</f>
        <v>0</v>
      </c>
      <c r="AR21" s="4">
        <f>'Base de données indicateurs1'!AR29</f>
        <v>0</v>
      </c>
      <c r="AS21" s="4">
        <f>'Base de données indicateurs1'!AS29</f>
        <v>0</v>
      </c>
      <c r="AT21" s="4">
        <f>'Base de données indicateurs1'!AT29</f>
        <v>0</v>
      </c>
      <c r="AU21" s="4">
        <f>'Base de données indicateurs1'!AU29</f>
        <v>0</v>
      </c>
      <c r="AV21" s="4">
        <f>'Base de données indicateurs1'!AV29</f>
        <v>0</v>
      </c>
      <c r="AW21" s="4">
        <f>'Base de données indicateurs1'!AW29</f>
        <v>0</v>
      </c>
      <c r="AX21" s="4">
        <f>'Base de données indicateurs1'!AX29</f>
        <v>0</v>
      </c>
      <c r="AY21" s="4">
        <f>'Base de données indicateurs1'!AY29</f>
        <v>0</v>
      </c>
      <c r="AZ21" s="4">
        <f>'Base de données indicateurs1'!AZ29</f>
        <v>0</v>
      </c>
      <c r="BA21" s="4">
        <f>'Base de données indicateurs1'!BA29</f>
        <v>0</v>
      </c>
      <c r="BB21" s="4">
        <f>'Base de données indicateurs1'!BB29</f>
        <v>0</v>
      </c>
      <c r="BC21" s="4">
        <f>'Base de données indicateurs1'!BC29</f>
        <v>0</v>
      </c>
      <c r="BD21" s="4">
        <f>'Base de données indicateurs1'!BD29</f>
        <v>0</v>
      </c>
      <c r="BE21" s="4">
        <f>'Base de données indicateurs1'!BE29</f>
        <v>0</v>
      </c>
      <c r="BF21" s="4">
        <f t="shared" si="0"/>
        <v>8100</v>
      </c>
      <c r="BG21" s="4">
        <f t="shared" si="1"/>
        <v>0</v>
      </c>
      <c r="BH21" s="4">
        <f t="shared" si="2"/>
        <v>0</v>
      </c>
    </row>
    <row r="22" spans="1:60" x14ac:dyDescent="0.25">
      <c r="A22" s="114" t="s">
        <v>543</v>
      </c>
      <c r="B22" s="115" t="s">
        <v>232</v>
      </c>
      <c r="C22" s="114">
        <v>366</v>
      </c>
      <c r="D22" s="116">
        <f>'Base de données indicateurs1'!BF30</f>
        <v>15247.55</v>
      </c>
      <c r="E22" s="4">
        <f>'Base de données indicateurs1'!E30</f>
        <v>0</v>
      </c>
      <c r="F22" s="4">
        <f>'Base de données indicateurs1'!F30</f>
        <v>0</v>
      </c>
      <c r="G22" s="4">
        <f>'Base de données indicateurs1'!G30</f>
        <v>0</v>
      </c>
      <c r="H22" s="4">
        <f>'Base de données indicateurs1'!H30</f>
        <v>0</v>
      </c>
      <c r="I22" s="4">
        <f>'Base de données indicateurs1'!I30</f>
        <v>0</v>
      </c>
      <c r="J22" s="4">
        <f>'Base de données indicateurs1'!J30</f>
        <v>0</v>
      </c>
      <c r="K22" s="4">
        <f>'Base de données indicateurs1'!K30</f>
        <v>0</v>
      </c>
      <c r="L22" s="4">
        <f>'Base de données indicateurs1'!L30</f>
        <v>0</v>
      </c>
      <c r="M22" s="4">
        <f>'Base de données indicateurs1'!M30</f>
        <v>0</v>
      </c>
      <c r="N22" s="4">
        <f>'Base de données indicateurs1'!N30</f>
        <v>0</v>
      </c>
      <c r="O22" s="4">
        <f>'Base de données indicateurs1'!O30</f>
        <v>15247.55</v>
      </c>
      <c r="P22" s="4">
        <f>'Base de données indicateurs1'!P30</f>
        <v>0</v>
      </c>
      <c r="Q22" s="4">
        <f>'Base de données indicateurs1'!Q30</f>
        <v>0</v>
      </c>
      <c r="R22" s="4">
        <f>'Base de données indicateurs1'!R30</f>
        <v>0</v>
      </c>
      <c r="S22" s="4">
        <f>'Base de données indicateurs1'!S30</f>
        <v>0</v>
      </c>
      <c r="T22" s="4">
        <f>'Base de données indicateurs1'!T30</f>
        <v>0</v>
      </c>
      <c r="U22" s="4">
        <f>'Base de données indicateurs1'!U30</f>
        <v>0</v>
      </c>
      <c r="V22" s="4">
        <f>'Base de données indicateurs1'!V30</f>
        <v>0</v>
      </c>
      <c r="W22" s="4">
        <f>'Base de données indicateurs1'!W30</f>
        <v>0</v>
      </c>
      <c r="X22" s="4">
        <f>'Base de données indicateurs1'!X30</f>
        <v>0</v>
      </c>
      <c r="Y22" s="4">
        <f>'Base de données indicateurs1'!Y30</f>
        <v>0</v>
      </c>
      <c r="Z22" s="4">
        <f>'Base de données indicateurs1'!Z30</f>
        <v>0</v>
      </c>
      <c r="AA22" s="4">
        <f>'Base de données indicateurs1'!AA30</f>
        <v>0</v>
      </c>
      <c r="AB22" s="4">
        <f>'Base de données indicateurs1'!AB30</f>
        <v>0</v>
      </c>
      <c r="AC22" s="4">
        <f>'Base de données indicateurs1'!AC30</f>
        <v>0</v>
      </c>
      <c r="AD22" s="4">
        <f>'Base de données indicateurs1'!AD30</f>
        <v>0</v>
      </c>
      <c r="AE22" s="4">
        <f>'Base de données indicateurs1'!AE30</f>
        <v>0</v>
      </c>
      <c r="AF22" s="4">
        <f>'Base de données indicateurs1'!AF30</f>
        <v>0</v>
      </c>
      <c r="AG22" s="4">
        <f>'Base de données indicateurs1'!AG30</f>
        <v>0</v>
      </c>
      <c r="AH22" s="4">
        <f>'Base de données indicateurs1'!AH30</f>
        <v>0</v>
      </c>
      <c r="AI22" s="4">
        <f>'Base de données indicateurs1'!AI30</f>
        <v>0</v>
      </c>
      <c r="AJ22" s="4">
        <f>'Base de données indicateurs1'!AJ30</f>
        <v>0</v>
      </c>
      <c r="AK22" s="4">
        <f>'Base de données indicateurs1'!AK30</f>
        <v>0</v>
      </c>
      <c r="AL22" s="4">
        <f>'Base de données indicateurs1'!AL30</f>
        <v>0</v>
      </c>
      <c r="AM22" s="4">
        <f>'Base de données indicateurs1'!AM30</f>
        <v>0</v>
      </c>
      <c r="AN22" s="4">
        <f>'Base de données indicateurs1'!AN30</f>
        <v>0</v>
      </c>
      <c r="AO22" s="4">
        <f>'Base de données indicateurs1'!AO30</f>
        <v>0</v>
      </c>
      <c r="AP22" s="4">
        <f>'Base de données indicateurs1'!AP30</f>
        <v>0</v>
      </c>
      <c r="AQ22" s="4">
        <f>'Base de données indicateurs1'!AQ30</f>
        <v>0</v>
      </c>
      <c r="AR22" s="4">
        <f>'Base de données indicateurs1'!AR30</f>
        <v>0</v>
      </c>
      <c r="AS22" s="4">
        <f>'Base de données indicateurs1'!AS30</f>
        <v>0</v>
      </c>
      <c r="AT22" s="4">
        <f>'Base de données indicateurs1'!AT30</f>
        <v>0</v>
      </c>
      <c r="AU22" s="4">
        <f>'Base de données indicateurs1'!AU30</f>
        <v>0</v>
      </c>
      <c r="AV22" s="4">
        <f>'Base de données indicateurs1'!AV30</f>
        <v>0</v>
      </c>
      <c r="AW22" s="4">
        <f>'Base de données indicateurs1'!AW30</f>
        <v>0</v>
      </c>
      <c r="AX22" s="4">
        <f>'Base de données indicateurs1'!AX30</f>
        <v>0</v>
      </c>
      <c r="AY22" s="4">
        <f>'Base de données indicateurs1'!AY30</f>
        <v>0</v>
      </c>
      <c r="AZ22" s="4">
        <f>'Base de données indicateurs1'!AZ30</f>
        <v>0</v>
      </c>
      <c r="BA22" s="4">
        <f>'Base de données indicateurs1'!BA30</f>
        <v>0</v>
      </c>
      <c r="BB22" s="4">
        <f>'Base de données indicateurs1'!BB30</f>
        <v>0</v>
      </c>
      <c r="BC22" s="4">
        <f>'Base de données indicateurs1'!BC30</f>
        <v>0</v>
      </c>
      <c r="BD22" s="4">
        <f>'Base de données indicateurs1'!BD30</f>
        <v>0</v>
      </c>
      <c r="BE22" s="4">
        <f>'Base de données indicateurs1'!BE30</f>
        <v>0</v>
      </c>
      <c r="BF22" s="4">
        <f t="shared" si="0"/>
        <v>15247.55</v>
      </c>
      <c r="BG22" s="4">
        <f t="shared" si="1"/>
        <v>0</v>
      </c>
      <c r="BH22" s="4">
        <f t="shared" si="2"/>
        <v>0</v>
      </c>
    </row>
    <row r="23" spans="1:60" ht="15.75" thickBot="1" x14ac:dyDescent="0.3">
      <c r="A23" s="117"/>
      <c r="B23" s="118"/>
      <c r="C23" s="117"/>
      <c r="D23" s="119"/>
      <c r="BF23" s="4"/>
      <c r="BG23" s="4"/>
      <c r="BH23" s="4"/>
    </row>
    <row r="24" spans="1:60" ht="15.75" thickBot="1" x14ac:dyDescent="0.3">
      <c r="A24" s="7" t="s">
        <v>544</v>
      </c>
      <c r="B24" s="64"/>
      <c r="C24" s="7"/>
      <c r="D24" s="127">
        <f>SUM(D14:D15,D17,D19)-SUM(D16,D18,D20:D22)+D12</f>
        <v>320772895.75999999</v>
      </c>
      <c r="E24" s="145">
        <f>SUM(E14:E15,E17,E19)-SUM(E16,E18,E20:E22)+E12</f>
        <v>3426593.3</v>
      </c>
      <c r="F24" s="129">
        <f t="shared" ref="F24:BE24" si="3">SUM(F14:F15,F17,F19)-SUM(F16,F18,F20:F22)+F12</f>
        <v>800541.6</v>
      </c>
      <c r="G24" s="129">
        <f t="shared" si="3"/>
        <v>4264974.1500000004</v>
      </c>
      <c r="H24" s="129">
        <f t="shared" si="3"/>
        <v>1552069.32</v>
      </c>
      <c r="I24" s="129">
        <f t="shared" si="3"/>
        <v>12929867</v>
      </c>
      <c r="J24" s="129">
        <f t="shared" si="3"/>
        <v>12816095.190000001</v>
      </c>
      <c r="K24" s="129">
        <f t="shared" si="3"/>
        <v>9445337.4799999986</v>
      </c>
      <c r="L24" s="129">
        <f t="shared" si="3"/>
        <v>73025800.709999993</v>
      </c>
      <c r="M24" s="129">
        <f t="shared" si="3"/>
        <v>4908879.0600000005</v>
      </c>
      <c r="N24" s="129">
        <f t="shared" si="3"/>
        <v>41267.75</v>
      </c>
      <c r="O24" s="129">
        <f t="shared" si="3"/>
        <v>23698014.150000002</v>
      </c>
      <c r="P24" s="129">
        <f t="shared" si="3"/>
        <v>1974838.24</v>
      </c>
      <c r="Q24" s="129">
        <f t="shared" si="3"/>
        <v>365730.28</v>
      </c>
      <c r="R24" s="129">
        <f t="shared" si="3"/>
        <v>1311780.43</v>
      </c>
      <c r="S24" s="129">
        <f t="shared" si="3"/>
        <v>1455239.1199999999</v>
      </c>
      <c r="T24" s="129">
        <f t="shared" si="3"/>
        <v>2307551.2000000002</v>
      </c>
      <c r="U24" s="129">
        <f t="shared" si="3"/>
        <v>905932.1</v>
      </c>
      <c r="V24" s="129">
        <f t="shared" si="3"/>
        <v>2378491.5299999998</v>
      </c>
      <c r="W24" s="129">
        <f t="shared" si="3"/>
        <v>10604140.819999998</v>
      </c>
      <c r="X24" s="129">
        <f t="shared" si="3"/>
        <v>1299569.3500000001</v>
      </c>
      <c r="Y24" s="129">
        <f t="shared" si="3"/>
        <v>4914831.7</v>
      </c>
      <c r="Z24" s="129">
        <f t="shared" si="3"/>
        <v>9842154.5600000005</v>
      </c>
      <c r="AA24" s="129">
        <f t="shared" si="3"/>
        <v>378417</v>
      </c>
      <c r="AB24" s="129">
        <f t="shared" si="3"/>
        <v>603445.93000000005</v>
      </c>
      <c r="AC24" s="129">
        <f t="shared" si="3"/>
        <v>2185838.4699999997</v>
      </c>
      <c r="AD24" s="129">
        <f t="shared" si="3"/>
        <v>2941830.35</v>
      </c>
      <c r="AE24" s="129">
        <f t="shared" si="3"/>
        <v>2517103.8699999996</v>
      </c>
      <c r="AF24" s="129">
        <f t="shared" si="3"/>
        <v>3243048.4099999997</v>
      </c>
      <c r="AG24" s="129">
        <f t="shared" si="3"/>
        <v>7378113.9399999995</v>
      </c>
      <c r="AH24" s="129">
        <f t="shared" si="3"/>
        <v>9204094.9499999993</v>
      </c>
      <c r="AI24" s="129">
        <f t="shared" si="3"/>
        <v>670291.75</v>
      </c>
      <c r="AJ24" s="129">
        <f t="shared" si="3"/>
        <v>479639.4</v>
      </c>
      <c r="AK24" s="129">
        <f t="shared" si="3"/>
        <v>8269030.9199999999</v>
      </c>
      <c r="AL24" s="129">
        <f t="shared" si="3"/>
        <v>1620938</v>
      </c>
      <c r="AM24" s="129">
        <f t="shared" si="3"/>
        <v>4515563.82</v>
      </c>
      <c r="AN24" s="129">
        <f t="shared" si="3"/>
        <v>1155576.3999999999</v>
      </c>
      <c r="AO24" s="129">
        <f t="shared" si="3"/>
        <v>7883085.46</v>
      </c>
      <c r="AP24" s="129">
        <f t="shared" si="3"/>
        <v>3272326.7300000004</v>
      </c>
      <c r="AQ24" s="129">
        <f t="shared" si="3"/>
        <v>1927517.1</v>
      </c>
      <c r="AR24" s="129">
        <f t="shared" si="3"/>
        <v>5754823.1800000006</v>
      </c>
      <c r="AS24" s="129">
        <f t="shared" si="3"/>
        <v>2481930.61</v>
      </c>
      <c r="AT24" s="129">
        <f t="shared" si="3"/>
        <v>3899169.4899999998</v>
      </c>
      <c r="AU24" s="129">
        <f t="shared" si="3"/>
        <v>1525654.3800000001</v>
      </c>
      <c r="AV24" s="129">
        <f t="shared" si="3"/>
        <v>8105801.8000000007</v>
      </c>
      <c r="AW24" s="129">
        <f t="shared" si="3"/>
        <v>2577174.4300000002</v>
      </c>
      <c r="AX24" s="129">
        <f t="shared" si="3"/>
        <v>553240.89</v>
      </c>
      <c r="AY24" s="129">
        <f t="shared" si="3"/>
        <v>1028149.6000000001</v>
      </c>
      <c r="AZ24" s="129">
        <f t="shared" si="3"/>
        <v>5535261.3499999996</v>
      </c>
      <c r="BA24" s="129">
        <f t="shared" si="3"/>
        <v>1664377.48</v>
      </c>
      <c r="BB24" s="129">
        <f t="shared" si="3"/>
        <v>5907155.5999999996</v>
      </c>
      <c r="BC24" s="129">
        <f t="shared" si="3"/>
        <v>621177.82999999996</v>
      </c>
      <c r="BD24" s="129">
        <f t="shared" si="3"/>
        <v>36658703.329999998</v>
      </c>
      <c r="BE24" s="129">
        <f t="shared" si="3"/>
        <v>1944714.2499999998</v>
      </c>
      <c r="BF24" s="4">
        <f t="shared" si="0"/>
        <v>168213143.43000001</v>
      </c>
      <c r="BG24" s="4">
        <f t="shared" si="1"/>
        <v>45658379.68</v>
      </c>
      <c r="BH24" s="4">
        <f t="shared" si="2"/>
        <v>106901372.65000001</v>
      </c>
    </row>
    <row r="25" spans="1:60" ht="15.75" thickBot="1" x14ac:dyDescent="0.3">
      <c r="B25" s="121"/>
      <c r="D25" s="4"/>
      <c r="BF25" s="4"/>
      <c r="BG25" s="4"/>
      <c r="BH25" s="4"/>
    </row>
    <row r="26" spans="1:60" ht="15.75" thickBot="1" x14ac:dyDescent="0.3">
      <c r="A26" s="7" t="s">
        <v>545</v>
      </c>
      <c r="B26" s="121"/>
      <c r="D26" s="120">
        <f>IF(D24&lt;&gt;0,D12/D24,"")*100</f>
        <v>11.443409394995824</v>
      </c>
      <c r="E26" s="145">
        <f>IF(E24&lt;&gt;0,E12/E24,"")*100</f>
        <v>17.330990228691572</v>
      </c>
      <c r="F26" s="129">
        <f t="shared" ref="F26:BH26" si="4">IF(F24&lt;&gt;0,F12/F24,"")*100</f>
        <v>0.64791760977818025</v>
      </c>
      <c r="G26" s="129">
        <f t="shared" si="4"/>
        <v>63.326469399585918</v>
      </c>
      <c r="H26" s="129">
        <f t="shared" si="4"/>
        <v>14.518359270190329</v>
      </c>
      <c r="I26" s="129">
        <f t="shared" si="4"/>
        <v>17.413025207451863</v>
      </c>
      <c r="J26" s="129">
        <f t="shared" si="4"/>
        <v>17.794638352713417</v>
      </c>
      <c r="K26" s="129">
        <f t="shared" si="4"/>
        <v>13.40904168518921</v>
      </c>
      <c r="L26" s="129">
        <f t="shared" si="4"/>
        <v>14.348159730024273</v>
      </c>
      <c r="M26" s="129">
        <f t="shared" si="4"/>
        <v>3.7572009362153644</v>
      </c>
      <c r="N26" s="129">
        <f t="shared" si="4"/>
        <v>100</v>
      </c>
      <c r="O26" s="129">
        <f t="shared" si="4"/>
        <v>8.7840529034370576</v>
      </c>
      <c r="P26" s="129">
        <f t="shared" si="4"/>
        <v>8.8708141483020917</v>
      </c>
      <c r="Q26" s="129">
        <f t="shared" si="4"/>
        <v>0</v>
      </c>
      <c r="R26" s="129">
        <f t="shared" si="4"/>
        <v>1.2055371187386901</v>
      </c>
      <c r="S26" s="129">
        <f t="shared" si="4"/>
        <v>11.76691154371936</v>
      </c>
      <c r="T26" s="129">
        <f t="shared" si="4"/>
        <v>9.446254106951125</v>
      </c>
      <c r="U26" s="129">
        <f t="shared" si="4"/>
        <v>9.13810207188817</v>
      </c>
      <c r="V26" s="129">
        <f t="shared" si="4"/>
        <v>13.15956336409573</v>
      </c>
      <c r="W26" s="129">
        <f t="shared" si="4"/>
        <v>9.6406155609691364</v>
      </c>
      <c r="X26" s="129">
        <f t="shared" si="4"/>
        <v>5.046160099112833</v>
      </c>
      <c r="Y26" s="129">
        <f t="shared" si="4"/>
        <v>2.6080903238253303</v>
      </c>
      <c r="Z26" s="129">
        <f t="shared" si="4"/>
        <v>5.1170033647591895</v>
      </c>
      <c r="AA26" s="129">
        <f t="shared" si="4"/>
        <v>0</v>
      </c>
      <c r="AB26" s="129">
        <f t="shared" si="4"/>
        <v>10.712666501868693</v>
      </c>
      <c r="AC26" s="129">
        <f t="shared" si="4"/>
        <v>4.5872008099482313</v>
      </c>
      <c r="AD26" s="129">
        <f t="shared" si="4"/>
        <v>4.9097294138664385</v>
      </c>
      <c r="AE26" s="129">
        <f t="shared" si="4"/>
        <v>1.6051701513612948</v>
      </c>
      <c r="AF26" s="129">
        <f t="shared" si="4"/>
        <v>22.430143125738912</v>
      </c>
      <c r="AG26" s="129">
        <f t="shared" si="4"/>
        <v>9.1928520691834166</v>
      </c>
      <c r="AH26" s="129">
        <f t="shared" si="4"/>
        <v>3.7743738182535811</v>
      </c>
      <c r="AI26" s="129">
        <f t="shared" si="4"/>
        <v>0</v>
      </c>
      <c r="AJ26" s="129">
        <f t="shared" si="4"/>
        <v>0</v>
      </c>
      <c r="AK26" s="129">
        <f t="shared" si="4"/>
        <v>23.820959179579411</v>
      </c>
      <c r="AL26" s="129">
        <f t="shared" si="4"/>
        <v>23.065040118746062</v>
      </c>
      <c r="AM26" s="129">
        <f t="shared" si="4"/>
        <v>6.4972595160885129</v>
      </c>
      <c r="AN26" s="129">
        <f t="shared" si="4"/>
        <v>52.961794650704185</v>
      </c>
      <c r="AO26" s="129">
        <f t="shared" si="4"/>
        <v>10.89590242752487</v>
      </c>
      <c r="AP26" s="129">
        <f t="shared" si="4"/>
        <v>11.835679379118719</v>
      </c>
      <c r="AQ26" s="129">
        <f t="shared" si="4"/>
        <v>2.5443146522539277</v>
      </c>
      <c r="AR26" s="129">
        <f t="shared" si="4"/>
        <v>7.8034404525353276</v>
      </c>
      <c r="AS26" s="129">
        <f t="shared" si="4"/>
        <v>2.8782432398462583</v>
      </c>
      <c r="AT26" s="129">
        <f t="shared" si="4"/>
        <v>6.0533493249097008</v>
      </c>
      <c r="AU26" s="129">
        <f t="shared" si="4"/>
        <v>19.048042847030661</v>
      </c>
      <c r="AV26" s="129">
        <f t="shared" si="4"/>
        <v>7.6192184960653737</v>
      </c>
      <c r="AW26" s="129">
        <f t="shared" si="4"/>
        <v>2.2211302166303115</v>
      </c>
      <c r="AX26" s="129">
        <f t="shared" si="4"/>
        <v>0</v>
      </c>
      <c r="AY26" s="129">
        <f t="shared" si="4"/>
        <v>0</v>
      </c>
      <c r="AZ26" s="129">
        <f t="shared" si="4"/>
        <v>0</v>
      </c>
      <c r="BA26" s="129">
        <f t="shared" si="4"/>
        <v>10.62228683844004</v>
      </c>
      <c r="BB26" s="129">
        <f t="shared" si="4"/>
        <v>6.3351996348293245</v>
      </c>
      <c r="BC26" s="129">
        <f t="shared" si="4"/>
        <v>0</v>
      </c>
      <c r="BD26" s="129">
        <f t="shared" si="4"/>
        <v>8.1188239344089208</v>
      </c>
      <c r="BE26" s="129">
        <f t="shared" si="4"/>
        <v>0.31982333651332068</v>
      </c>
      <c r="BF26" s="129">
        <f t="shared" si="4"/>
        <v>14.331424375308696</v>
      </c>
      <c r="BG26" s="129">
        <f t="shared" si="4"/>
        <v>6.1329707922740724</v>
      </c>
      <c r="BH26" s="129">
        <f t="shared" si="4"/>
        <v>9.1671424950594389</v>
      </c>
    </row>
    <row r="27" spans="1:60" x14ac:dyDescent="0.25">
      <c r="A27" s="123" t="s">
        <v>546</v>
      </c>
      <c r="B27" s="121"/>
      <c r="D27" s="4"/>
      <c r="BF27" s="4"/>
      <c r="BG27" s="4"/>
      <c r="BH27" s="4"/>
    </row>
    <row r="28" spans="1:60" x14ac:dyDescent="0.25">
      <c r="A28" s="123"/>
      <c r="B28" s="121"/>
      <c r="D28" s="4"/>
      <c r="BF28" s="4"/>
      <c r="BG28" s="4"/>
      <c r="BH28" s="4"/>
    </row>
    <row r="29" spans="1:60" x14ac:dyDescent="0.25">
      <c r="D29" s="4"/>
      <c r="BF29" s="4"/>
      <c r="BG29" s="4"/>
      <c r="BH29" s="4"/>
    </row>
    <row r="30" spans="1:60" x14ac:dyDescent="0.25">
      <c r="A30" s="7" t="s">
        <v>547</v>
      </c>
      <c r="B30" s="110"/>
      <c r="C30" s="65" t="s">
        <v>507</v>
      </c>
      <c r="D30" s="128" t="s">
        <v>508</v>
      </c>
      <c r="BF30" s="4"/>
      <c r="BG30" s="4"/>
      <c r="BH30" s="4"/>
    </row>
    <row r="31" spans="1:60" x14ac:dyDescent="0.25">
      <c r="B31" s="110"/>
      <c r="D31" s="4"/>
      <c r="BF31" s="4"/>
      <c r="BG31" s="4"/>
      <c r="BH31" s="4"/>
    </row>
    <row r="32" spans="1:60" x14ac:dyDescent="0.25">
      <c r="A32" s="111" t="s">
        <v>289</v>
      </c>
      <c r="B32" s="112" t="s">
        <v>231</v>
      </c>
      <c r="C32" s="111">
        <v>340</v>
      </c>
      <c r="D32" s="113">
        <f>'Base de données indicateurs1'!BF22</f>
        <v>5808716.3200000003</v>
      </c>
      <c r="E32" s="4">
        <f>'Base de données indicateurs1'!E22</f>
        <v>25957.09</v>
      </c>
      <c r="F32" s="4">
        <f>'Base de données indicateurs1'!F22</f>
        <v>34741.199999999997</v>
      </c>
      <c r="G32" s="4">
        <f>'Base de données indicateurs1'!G22</f>
        <v>63086.15</v>
      </c>
      <c r="H32" s="4">
        <f>'Base de données indicateurs1'!H22</f>
        <v>62822.720000000001</v>
      </c>
      <c r="I32" s="4">
        <f>'Base de données indicateurs1'!I22</f>
        <v>313671</v>
      </c>
      <c r="J32" s="4">
        <f>'Base de données indicateurs1'!J22</f>
        <v>230949.12</v>
      </c>
      <c r="K32" s="4">
        <f>'Base de données indicateurs1'!K22</f>
        <v>94301.96</v>
      </c>
      <c r="L32" s="4">
        <f>'Base de données indicateurs1'!L22</f>
        <v>1098788.75</v>
      </c>
      <c r="M32" s="4">
        <f>'Base de données indicateurs1'!M22</f>
        <v>52189.760000000002</v>
      </c>
      <c r="N32" s="4">
        <f>'Base de données indicateurs1'!N22</f>
        <v>0</v>
      </c>
      <c r="O32" s="4">
        <f>'Base de données indicateurs1'!O22</f>
        <v>281598.65000000002</v>
      </c>
      <c r="P32" s="4">
        <f>'Base de données indicateurs1'!P22</f>
        <v>39215.760000000002</v>
      </c>
      <c r="Q32" s="4">
        <f>'Base de données indicateurs1'!Q22</f>
        <v>9095.5300000000007</v>
      </c>
      <c r="R32" s="4">
        <f>'Base de données indicateurs1'!R22</f>
        <v>36877.370000000003</v>
      </c>
      <c r="S32" s="4">
        <f>'Base de données indicateurs1'!S22</f>
        <v>56844.93</v>
      </c>
      <c r="T32" s="4">
        <f>'Base de données indicateurs1'!T22</f>
        <v>52274.2</v>
      </c>
      <c r="U32" s="4">
        <f>'Base de données indicateurs1'!U22</f>
        <v>5116.74</v>
      </c>
      <c r="V32" s="4">
        <f>'Base de données indicateurs1'!V22</f>
        <v>54207.25</v>
      </c>
      <c r="W32" s="4">
        <f>'Base de données indicateurs1'!W22</f>
        <v>194511.55</v>
      </c>
      <c r="X32" s="4">
        <f>'Base de données indicateurs1'!X22</f>
        <v>1027</v>
      </c>
      <c r="Y32" s="4">
        <f>'Base de données indicateurs1'!Y22</f>
        <v>161777.70000000001</v>
      </c>
      <c r="Z32" s="4">
        <f>'Base de données indicateurs1'!Z22</f>
        <v>12098.93</v>
      </c>
      <c r="AA32" s="4">
        <f>'Base de données indicateurs1'!AA22</f>
        <v>4856</v>
      </c>
      <c r="AB32" s="4">
        <f>'Base de données indicateurs1'!AB22</f>
        <v>3291.6</v>
      </c>
      <c r="AC32" s="4">
        <f>'Base de données indicateurs1'!AC22</f>
        <v>30053.56</v>
      </c>
      <c r="AD32" s="4">
        <f>'Base de données indicateurs1'!AD22</f>
        <v>97145.66</v>
      </c>
      <c r="AE32" s="4">
        <f>'Base de données indicateurs1'!AE22</f>
        <v>38160.71</v>
      </c>
      <c r="AF32" s="4">
        <f>'Base de données indicateurs1'!AF22</f>
        <v>2733</v>
      </c>
      <c r="AG32" s="4">
        <f>'Base de données indicateurs1'!AG22</f>
        <v>88080.1</v>
      </c>
      <c r="AH32" s="4">
        <f>'Base de données indicateurs1'!AH22</f>
        <v>187345</v>
      </c>
      <c r="AI32" s="4">
        <f>'Base de données indicateurs1'!AI22</f>
        <v>14551.37</v>
      </c>
      <c r="AJ32" s="4">
        <f>'Base de données indicateurs1'!AJ22</f>
        <v>4665.28</v>
      </c>
      <c r="AK32" s="4">
        <f>'Base de données indicateurs1'!AK22</f>
        <v>143147.37</v>
      </c>
      <c r="AL32" s="4">
        <f>'Base de données indicateurs1'!AL22</f>
        <v>114622</v>
      </c>
      <c r="AM32" s="4">
        <f>'Base de données indicateurs1'!AM22</f>
        <v>109327.4</v>
      </c>
      <c r="AN32" s="4">
        <f>'Base de données indicateurs1'!AN22</f>
        <v>0</v>
      </c>
      <c r="AO32" s="4">
        <f>'Base de données indicateurs1'!AO22</f>
        <v>71278.63</v>
      </c>
      <c r="AP32" s="4">
        <f>'Base de données indicateurs1'!AP22</f>
        <v>53670.15</v>
      </c>
      <c r="AQ32" s="4">
        <f>'Base de données indicateurs1'!AQ22</f>
        <v>47702</v>
      </c>
      <c r="AR32" s="4">
        <f>'Base de données indicateurs1'!AR22</f>
        <v>89632.52</v>
      </c>
      <c r="AS32" s="4">
        <f>'Base de données indicateurs1'!AS22</f>
        <v>75220.63</v>
      </c>
      <c r="AT32" s="4">
        <f>'Base de données indicateurs1'!AT22</f>
        <v>121767.45</v>
      </c>
      <c r="AU32" s="4">
        <f>'Base de données indicateurs1'!AU22</f>
        <v>23204.25</v>
      </c>
      <c r="AV32" s="4">
        <f>'Base de données indicateurs1'!AV22</f>
        <v>200299.78</v>
      </c>
      <c r="AW32" s="4">
        <f>'Base de données indicateurs1'!AW22</f>
        <v>47265.91</v>
      </c>
      <c r="AX32" s="4">
        <f>'Base de données indicateurs1'!AX22</f>
        <v>7348.8</v>
      </c>
      <c r="AY32" s="4">
        <f>'Base de données indicateurs1'!AY22</f>
        <v>16514.060000000001</v>
      </c>
      <c r="AZ32" s="4">
        <f>'Base de données indicateurs1'!AZ22</f>
        <v>317070.18</v>
      </c>
      <c r="BA32" s="4">
        <f>'Base de données indicateurs1'!BA22</f>
        <v>10122.76</v>
      </c>
      <c r="BB32" s="4">
        <f>'Base de données indicateurs1'!BB22</f>
        <v>91910.14</v>
      </c>
      <c r="BC32" s="4">
        <f>'Base de données indicateurs1'!BC22</f>
        <v>0</v>
      </c>
      <c r="BD32" s="4">
        <f>'Base de données indicateurs1'!BD22</f>
        <v>868835</v>
      </c>
      <c r="BE32" s="4">
        <f>'Base de données indicateurs1'!BE22</f>
        <v>47741.65</v>
      </c>
      <c r="BF32" s="4">
        <f t="shared" si="0"/>
        <v>2706249.73</v>
      </c>
      <c r="BG32" s="4">
        <f t="shared" si="1"/>
        <v>645785.91</v>
      </c>
      <c r="BH32" s="4">
        <f t="shared" si="2"/>
        <v>2456680.6799999997</v>
      </c>
    </row>
    <row r="33" spans="1:60" x14ac:dyDescent="0.25">
      <c r="A33" s="114" t="s">
        <v>288</v>
      </c>
      <c r="B33" s="115" t="s">
        <v>232</v>
      </c>
      <c r="C33" s="114">
        <v>440</v>
      </c>
      <c r="D33" s="116">
        <f>'Base de données indicateurs1'!BF41</f>
        <v>2762183.310000001</v>
      </c>
      <c r="E33" s="4">
        <f>'Base de données indicateurs1'!E41</f>
        <v>23418.3</v>
      </c>
      <c r="F33" s="4">
        <f>'Base de données indicateurs1'!F41</f>
        <v>14462.33</v>
      </c>
      <c r="G33" s="4">
        <f>'Base de données indicateurs1'!G41</f>
        <v>8419.7000000000007</v>
      </c>
      <c r="H33" s="4">
        <f>'Base de données indicateurs1'!H41</f>
        <v>8186.86</v>
      </c>
      <c r="I33" s="4">
        <f>'Base de données indicateurs1'!I41</f>
        <v>153171</v>
      </c>
      <c r="J33" s="4">
        <f>'Base de données indicateurs1'!J41</f>
        <v>129767.64</v>
      </c>
      <c r="K33" s="4">
        <f>'Base de données indicateurs1'!K41</f>
        <v>41256.25</v>
      </c>
      <c r="L33" s="4">
        <f>'Base de données indicateurs1'!L41</f>
        <v>889346.59</v>
      </c>
      <c r="M33" s="4">
        <f>'Base de données indicateurs1'!M41</f>
        <v>40171.1</v>
      </c>
      <c r="N33" s="4">
        <f>'Base de données indicateurs1'!N41</f>
        <v>0</v>
      </c>
      <c r="O33" s="4">
        <f>'Base de données indicateurs1'!O41</f>
        <v>135941.74</v>
      </c>
      <c r="P33" s="4">
        <f>'Base de données indicateurs1'!P41</f>
        <v>9076.1</v>
      </c>
      <c r="Q33" s="4">
        <f>'Base de données indicateurs1'!Q41</f>
        <v>4220.45</v>
      </c>
      <c r="R33" s="4">
        <f>'Base de données indicateurs1'!R41</f>
        <v>158.27000000000001</v>
      </c>
      <c r="S33" s="4">
        <f>'Base de données indicateurs1'!S41</f>
        <v>6042.65</v>
      </c>
      <c r="T33" s="4">
        <f>'Base de données indicateurs1'!T41</f>
        <v>18851.05</v>
      </c>
      <c r="U33" s="4">
        <f>'Base de données indicateurs1'!U41</f>
        <v>6215.75</v>
      </c>
      <c r="V33" s="4">
        <f>'Base de données indicateurs1'!V41</f>
        <v>10386.93</v>
      </c>
      <c r="W33" s="4">
        <f>'Base de données indicateurs1'!W41</f>
        <v>79792.3</v>
      </c>
      <c r="X33" s="4">
        <f>'Base de données indicateurs1'!X41</f>
        <v>3271</v>
      </c>
      <c r="Y33" s="4">
        <f>'Base de données indicateurs1'!Y41</f>
        <v>41377.25</v>
      </c>
      <c r="Z33" s="4">
        <f>'Base de données indicateurs1'!Z41</f>
        <v>36248.74</v>
      </c>
      <c r="AA33" s="4">
        <f>'Base de données indicateurs1'!AA41</f>
        <v>562</v>
      </c>
      <c r="AB33" s="4">
        <f>'Base de données indicateurs1'!AB41</f>
        <v>2678</v>
      </c>
      <c r="AC33" s="4">
        <f>'Base de données indicateurs1'!AC41</f>
        <v>8518.5499999999993</v>
      </c>
      <c r="AD33" s="4">
        <f>'Base de données indicateurs1'!AD41</f>
        <v>115681.05</v>
      </c>
      <c r="AE33" s="4">
        <f>'Base de données indicateurs1'!AE41</f>
        <v>10361.08</v>
      </c>
      <c r="AF33" s="4">
        <f>'Base de données indicateurs1'!AF41</f>
        <v>296.7</v>
      </c>
      <c r="AG33" s="4">
        <f>'Base de données indicateurs1'!AG41</f>
        <v>29889.65</v>
      </c>
      <c r="AH33" s="4">
        <f>'Base de données indicateurs1'!AH41</f>
        <v>41227.97</v>
      </c>
      <c r="AI33" s="4">
        <f>'Base de données indicateurs1'!AI41</f>
        <v>12342.43</v>
      </c>
      <c r="AJ33" s="4">
        <f>'Base de données indicateurs1'!AJ41</f>
        <v>4175.1000000000004</v>
      </c>
      <c r="AK33" s="4">
        <f>'Base de données indicateurs1'!AK41</f>
        <v>105842.76</v>
      </c>
      <c r="AL33" s="4">
        <f>'Base de données indicateurs1'!AL41</f>
        <v>26934</v>
      </c>
      <c r="AM33" s="4">
        <f>'Base de données indicateurs1'!AM41</f>
        <v>42752.800000000003</v>
      </c>
      <c r="AN33" s="4">
        <f>'Base de données indicateurs1'!AN41</f>
        <v>6870.04</v>
      </c>
      <c r="AO33" s="4">
        <f>'Base de données indicateurs1'!AO41</f>
        <v>28354.12</v>
      </c>
      <c r="AP33" s="4">
        <f>'Base de données indicateurs1'!AP41</f>
        <v>25847.45</v>
      </c>
      <c r="AQ33" s="4">
        <f>'Base de données indicateurs1'!AQ41</f>
        <v>16980.400000000001</v>
      </c>
      <c r="AR33" s="4">
        <f>'Base de données indicateurs1'!AR41</f>
        <v>31166.18</v>
      </c>
      <c r="AS33" s="4">
        <f>'Base de données indicateurs1'!AS41</f>
        <v>43080.91</v>
      </c>
      <c r="AT33" s="4">
        <f>'Base de données indicateurs1'!AT41</f>
        <v>66001.039999999994</v>
      </c>
      <c r="AU33" s="4">
        <f>'Base de données indicateurs1'!AU41</f>
        <v>4916.3500000000004</v>
      </c>
      <c r="AV33" s="4">
        <f>'Base de données indicateurs1'!AV41</f>
        <v>51808.72</v>
      </c>
      <c r="AW33" s="4">
        <f>'Base de données indicateurs1'!AW41</f>
        <v>15471.29</v>
      </c>
      <c r="AX33" s="4">
        <f>'Base de données indicateurs1'!AX41</f>
        <v>3549.64</v>
      </c>
      <c r="AY33" s="4">
        <f>'Base de données indicateurs1'!AY41</f>
        <v>8404.1</v>
      </c>
      <c r="AZ33" s="4">
        <f>'Base de données indicateurs1'!AZ41</f>
        <v>52198.84</v>
      </c>
      <c r="BA33" s="4">
        <f>'Base de données indicateurs1'!BA41</f>
        <v>12193.98</v>
      </c>
      <c r="BB33" s="4">
        <f>'Base de données indicateurs1'!BB41</f>
        <v>38820</v>
      </c>
      <c r="BC33" s="4">
        <f>'Base de données indicateurs1'!BC41</f>
        <v>3699.85</v>
      </c>
      <c r="BD33" s="4">
        <f>'Base de données indicateurs1'!BD41</f>
        <v>268547.32</v>
      </c>
      <c r="BE33" s="4">
        <f>'Base de données indicateurs1'!BE41</f>
        <v>23228.99</v>
      </c>
      <c r="BF33" s="4">
        <f t="shared" si="0"/>
        <v>1578885.01</v>
      </c>
      <c r="BG33" s="4">
        <f t="shared" si="1"/>
        <v>306629.51999999996</v>
      </c>
      <c r="BH33" s="4">
        <f t="shared" si="2"/>
        <v>876668.78</v>
      </c>
    </row>
    <row r="34" spans="1:60" x14ac:dyDescent="0.25">
      <c r="A34" s="114" t="s">
        <v>548</v>
      </c>
      <c r="B34" s="115" t="s">
        <v>231</v>
      </c>
      <c r="C34" s="114">
        <v>33</v>
      </c>
      <c r="D34" s="116">
        <f>'Base de données indicateurs1'!BF20</f>
        <v>17465661.400000006</v>
      </c>
      <c r="E34" s="4">
        <f>'Base de données indicateurs1'!E20</f>
        <v>487774.58</v>
      </c>
      <c r="F34" s="4">
        <f>'Base de données indicateurs1'!F20</f>
        <v>50349</v>
      </c>
      <c r="G34" s="4">
        <f>'Base de données indicateurs1'!G20</f>
        <v>26490.3</v>
      </c>
      <c r="H34" s="4">
        <f>'Base de données indicateurs1'!H20</f>
        <v>93840</v>
      </c>
      <c r="I34" s="4">
        <f>'Base de données indicateurs1'!I20</f>
        <v>497197</v>
      </c>
      <c r="J34" s="4">
        <f>'Base de données indicateurs1'!J20</f>
        <v>834227.87</v>
      </c>
      <c r="K34" s="4">
        <f>'Base de données indicateurs1'!K20</f>
        <v>436693.95</v>
      </c>
      <c r="L34" s="4">
        <f>'Base de données indicateurs1'!L20</f>
        <v>3184573.05</v>
      </c>
      <c r="M34" s="4">
        <f>'Base de données indicateurs1'!M20</f>
        <v>192920</v>
      </c>
      <c r="N34" s="4">
        <f>'Base de données indicateurs1'!N20</f>
        <v>0</v>
      </c>
      <c r="O34" s="4">
        <f>'Base de données indicateurs1'!O20</f>
        <v>1048101.7</v>
      </c>
      <c r="P34" s="4">
        <f>'Base de données indicateurs1'!P20</f>
        <v>137078</v>
      </c>
      <c r="Q34" s="4">
        <f>'Base de données indicateurs1'!Q20</f>
        <v>12845</v>
      </c>
      <c r="R34" s="4">
        <f>'Base de données indicateurs1'!R20</f>
        <v>81200</v>
      </c>
      <c r="S34" s="4">
        <f>'Base de données indicateurs1'!S20</f>
        <v>67550</v>
      </c>
      <c r="T34" s="4">
        <f>'Base de données indicateurs1'!T20</f>
        <v>102560</v>
      </c>
      <c r="U34" s="4">
        <f>'Base de données indicateurs1'!U20</f>
        <v>21086</v>
      </c>
      <c r="V34" s="4">
        <f>'Base de données indicateurs1'!V20</f>
        <v>149609.54999999999</v>
      </c>
      <c r="W34" s="4">
        <f>'Base de données indicateurs1'!W20</f>
        <v>849975.67</v>
      </c>
      <c r="X34" s="4">
        <f>'Base de données indicateurs1'!X20</f>
        <v>51671</v>
      </c>
      <c r="Y34" s="4">
        <f>'Base de données indicateurs1'!Y20</f>
        <v>216817</v>
      </c>
      <c r="Z34" s="4">
        <f>'Base de données indicateurs1'!Z20</f>
        <v>268500</v>
      </c>
      <c r="AA34" s="4">
        <f>'Base de données indicateurs1'!AA20</f>
        <v>40237</v>
      </c>
      <c r="AB34" s="4">
        <f>'Base de données indicateurs1'!AB20</f>
        <v>700</v>
      </c>
      <c r="AC34" s="4">
        <f>'Base de données indicateurs1'!AC20</f>
        <v>59546.8</v>
      </c>
      <c r="AD34" s="4">
        <f>'Base de données indicateurs1'!AD20</f>
        <v>118375</v>
      </c>
      <c r="AE34" s="4">
        <f>'Base de données indicateurs1'!AE20</f>
        <v>112900</v>
      </c>
      <c r="AF34" s="4">
        <f>'Base de données indicateurs1'!AF20</f>
        <v>46101.55</v>
      </c>
      <c r="AG34" s="4">
        <f>'Base de données indicateurs1'!AG20</f>
        <v>439539</v>
      </c>
      <c r="AH34" s="4">
        <f>'Base de données indicateurs1'!AH20</f>
        <v>966285</v>
      </c>
      <c r="AI34" s="4">
        <f>'Base de données indicateurs1'!AI20</f>
        <v>47194</v>
      </c>
      <c r="AJ34" s="4">
        <f>'Base de données indicateurs1'!AJ20</f>
        <v>4720</v>
      </c>
      <c r="AK34" s="4">
        <f>'Base de données indicateurs1'!AK20</f>
        <v>0</v>
      </c>
      <c r="AL34" s="4">
        <f>'Base de données indicateurs1'!AL20</f>
        <v>236997</v>
      </c>
      <c r="AM34" s="4">
        <f>'Base de données indicateurs1'!AM20</f>
        <v>172530</v>
      </c>
      <c r="AN34" s="4">
        <f>'Base de données indicateurs1'!AN20</f>
        <v>18600</v>
      </c>
      <c r="AO34" s="4">
        <f>'Base de données indicateurs1'!AO20</f>
        <v>371459</v>
      </c>
      <c r="AP34" s="4">
        <f>'Base de données indicateurs1'!AP20</f>
        <v>54350</v>
      </c>
      <c r="AQ34" s="4">
        <f>'Base de données indicateurs1'!AQ20</f>
        <v>151720</v>
      </c>
      <c r="AR34" s="4">
        <f>'Base de données indicateurs1'!AR20</f>
        <v>509414.85</v>
      </c>
      <c r="AS34" s="4">
        <f>'Base de données indicateurs1'!AS20</f>
        <v>99234.8</v>
      </c>
      <c r="AT34" s="4">
        <f>'Base de données indicateurs1'!AT20</f>
        <v>150006.67000000001</v>
      </c>
      <c r="AU34" s="4">
        <f>'Base de données indicateurs1'!AU20</f>
        <v>432093.9</v>
      </c>
      <c r="AV34" s="4">
        <f>'Base de données indicateurs1'!AV20</f>
        <v>337553.91</v>
      </c>
      <c r="AW34" s="4">
        <f>'Base de données indicateurs1'!AW20</f>
        <v>70004.160000000003</v>
      </c>
      <c r="AX34" s="4">
        <f>'Base de données indicateurs1'!AX20</f>
        <v>11750</v>
      </c>
      <c r="AY34" s="4">
        <f>'Base de données indicateurs1'!AY20</f>
        <v>141500</v>
      </c>
      <c r="AZ34" s="4">
        <f>'Base de données indicateurs1'!AZ20</f>
        <v>451323.05</v>
      </c>
      <c r="BA34" s="4">
        <f>'Base de données indicateurs1'!BA20</f>
        <v>29040</v>
      </c>
      <c r="BB34" s="4">
        <f>'Base de données indicateurs1'!BB20</f>
        <v>381409.63</v>
      </c>
      <c r="BC34" s="4">
        <f>'Base de données indicateurs1'!BC20</f>
        <v>12476</v>
      </c>
      <c r="BD34" s="4">
        <f>'Base de données indicateurs1'!BD20</f>
        <v>3089940.09</v>
      </c>
      <c r="BE34" s="4">
        <f>'Base de données indicateurs1'!BE20</f>
        <v>97600.320000000007</v>
      </c>
      <c r="BF34" s="4">
        <f t="shared" si="0"/>
        <v>8274071.6699999999</v>
      </c>
      <c r="BG34" s="4">
        <f t="shared" si="1"/>
        <v>2372586.35</v>
      </c>
      <c r="BH34" s="4">
        <f t="shared" si="2"/>
        <v>6819003.3800000008</v>
      </c>
    </row>
    <row r="35" spans="1:60" x14ac:dyDescent="0.25">
      <c r="A35" s="114" t="s">
        <v>542</v>
      </c>
      <c r="B35" s="115" t="s">
        <v>231</v>
      </c>
      <c r="C35" s="114">
        <v>364</v>
      </c>
      <c r="D35" s="116">
        <f>'Base de données indicateurs1'!BF28</f>
        <v>0</v>
      </c>
      <c r="E35" s="4">
        <f>'Base de données indicateurs1'!E28</f>
        <v>0</v>
      </c>
      <c r="F35" s="4">
        <f>'Base de données indicateurs1'!F28</f>
        <v>0</v>
      </c>
      <c r="G35" s="4">
        <f>'Base de données indicateurs1'!G28</f>
        <v>0</v>
      </c>
      <c r="H35" s="4">
        <f>'Base de données indicateurs1'!H28</f>
        <v>0</v>
      </c>
      <c r="I35" s="4">
        <f>'Base de données indicateurs1'!I28</f>
        <v>0</v>
      </c>
      <c r="J35" s="4">
        <f>'Base de données indicateurs1'!J28</f>
        <v>0</v>
      </c>
      <c r="K35" s="4">
        <f>'Base de données indicateurs1'!K28</f>
        <v>0</v>
      </c>
      <c r="L35" s="4">
        <f>'Base de données indicateurs1'!L28</f>
        <v>0</v>
      </c>
      <c r="M35" s="4">
        <f>'Base de données indicateurs1'!M28</f>
        <v>0</v>
      </c>
      <c r="N35" s="4">
        <f>'Base de données indicateurs1'!N28</f>
        <v>0</v>
      </c>
      <c r="O35" s="4">
        <f>'Base de données indicateurs1'!O28</f>
        <v>0</v>
      </c>
      <c r="P35" s="4">
        <f>'Base de données indicateurs1'!P28</f>
        <v>0</v>
      </c>
      <c r="Q35" s="4">
        <f>'Base de données indicateurs1'!Q28</f>
        <v>0</v>
      </c>
      <c r="R35" s="4">
        <f>'Base de données indicateurs1'!R28</f>
        <v>0</v>
      </c>
      <c r="S35" s="4">
        <f>'Base de données indicateurs1'!S28</f>
        <v>0</v>
      </c>
      <c r="T35" s="4">
        <f>'Base de données indicateurs1'!T28</f>
        <v>0</v>
      </c>
      <c r="U35" s="4">
        <f>'Base de données indicateurs1'!U28</f>
        <v>0</v>
      </c>
      <c r="V35" s="4">
        <f>'Base de données indicateurs1'!V28</f>
        <v>0</v>
      </c>
      <c r="W35" s="4">
        <f>'Base de données indicateurs1'!W28</f>
        <v>0</v>
      </c>
      <c r="X35" s="4">
        <f>'Base de données indicateurs1'!X28</f>
        <v>0</v>
      </c>
      <c r="Y35" s="4">
        <f>'Base de données indicateurs1'!Y28</f>
        <v>0</v>
      </c>
      <c r="Z35" s="4">
        <f>'Base de données indicateurs1'!Z28</f>
        <v>0</v>
      </c>
      <c r="AA35" s="4">
        <f>'Base de données indicateurs1'!AA28</f>
        <v>0</v>
      </c>
      <c r="AB35" s="4">
        <f>'Base de données indicateurs1'!AB28</f>
        <v>0</v>
      </c>
      <c r="AC35" s="4">
        <f>'Base de données indicateurs1'!AC28</f>
        <v>0</v>
      </c>
      <c r="AD35" s="4">
        <f>'Base de données indicateurs1'!AD28</f>
        <v>0</v>
      </c>
      <c r="AE35" s="4">
        <f>'Base de données indicateurs1'!AE28</f>
        <v>0</v>
      </c>
      <c r="AF35" s="4">
        <f>'Base de données indicateurs1'!AF28</f>
        <v>0</v>
      </c>
      <c r="AG35" s="4">
        <f>'Base de données indicateurs1'!AG28</f>
        <v>0</v>
      </c>
      <c r="AH35" s="4">
        <f>'Base de données indicateurs1'!AH28</f>
        <v>0</v>
      </c>
      <c r="AI35" s="4">
        <f>'Base de données indicateurs1'!AI28</f>
        <v>0</v>
      </c>
      <c r="AJ35" s="4">
        <f>'Base de données indicateurs1'!AJ28</f>
        <v>0</v>
      </c>
      <c r="AK35" s="4">
        <f>'Base de données indicateurs1'!AK28</f>
        <v>0</v>
      </c>
      <c r="AL35" s="4">
        <f>'Base de données indicateurs1'!AL28</f>
        <v>0</v>
      </c>
      <c r="AM35" s="4">
        <f>'Base de données indicateurs1'!AM28</f>
        <v>0</v>
      </c>
      <c r="AN35" s="4">
        <f>'Base de données indicateurs1'!AN28</f>
        <v>0</v>
      </c>
      <c r="AO35" s="4">
        <f>'Base de données indicateurs1'!AO28</f>
        <v>0</v>
      </c>
      <c r="AP35" s="4">
        <f>'Base de données indicateurs1'!AP28</f>
        <v>0</v>
      </c>
      <c r="AQ35" s="4">
        <f>'Base de données indicateurs1'!AQ28</f>
        <v>0</v>
      </c>
      <c r="AR35" s="4">
        <f>'Base de données indicateurs1'!AR28</f>
        <v>0</v>
      </c>
      <c r="AS35" s="4">
        <f>'Base de données indicateurs1'!AS28</f>
        <v>0</v>
      </c>
      <c r="AT35" s="4">
        <f>'Base de données indicateurs1'!AT28</f>
        <v>0</v>
      </c>
      <c r="AU35" s="4">
        <f>'Base de données indicateurs1'!AU28</f>
        <v>0</v>
      </c>
      <c r="AV35" s="4">
        <f>'Base de données indicateurs1'!AV28</f>
        <v>0</v>
      </c>
      <c r="AW35" s="4">
        <f>'Base de données indicateurs1'!AW28</f>
        <v>0</v>
      </c>
      <c r="AX35" s="4">
        <f>'Base de données indicateurs1'!AX28</f>
        <v>0</v>
      </c>
      <c r="AY35" s="4">
        <f>'Base de données indicateurs1'!AY28</f>
        <v>0</v>
      </c>
      <c r="AZ35" s="4">
        <f>'Base de données indicateurs1'!AZ28</f>
        <v>0</v>
      </c>
      <c r="BA35" s="4">
        <f>'Base de données indicateurs1'!BA28</f>
        <v>0</v>
      </c>
      <c r="BB35" s="4">
        <f>'Base de données indicateurs1'!BB28</f>
        <v>0</v>
      </c>
      <c r="BC35" s="4">
        <f>'Base de données indicateurs1'!BC28</f>
        <v>0</v>
      </c>
      <c r="BD35" s="4">
        <f>'Base de données indicateurs1'!BD28</f>
        <v>0</v>
      </c>
      <c r="BE35" s="4">
        <f>'Base de données indicateurs1'!BE28</f>
        <v>0</v>
      </c>
      <c r="BF35" s="4">
        <f t="shared" si="0"/>
        <v>0</v>
      </c>
      <c r="BG35" s="4">
        <f t="shared" si="1"/>
        <v>0</v>
      </c>
      <c r="BH35" s="4">
        <f t="shared" si="2"/>
        <v>0</v>
      </c>
    </row>
    <row r="36" spans="1:60" x14ac:dyDescent="0.25">
      <c r="A36" s="114" t="s">
        <v>116</v>
      </c>
      <c r="B36" s="115" t="s">
        <v>231</v>
      </c>
      <c r="C36" s="114">
        <v>365</v>
      </c>
      <c r="D36" s="116">
        <f>'Base de données indicateurs1'!BF29</f>
        <v>8100</v>
      </c>
      <c r="E36" s="4">
        <f>'Base de données indicateurs1'!E29</f>
        <v>0</v>
      </c>
      <c r="F36" s="4">
        <f>'Base de données indicateurs1'!F29</f>
        <v>0</v>
      </c>
      <c r="G36" s="4">
        <f>'Base de données indicateurs1'!G29</f>
        <v>0</v>
      </c>
      <c r="H36" s="4">
        <f>'Base de données indicateurs1'!H29</f>
        <v>0</v>
      </c>
      <c r="I36" s="4">
        <f>'Base de données indicateurs1'!I29</f>
        <v>0</v>
      </c>
      <c r="J36" s="4">
        <f>'Base de données indicateurs1'!J29</f>
        <v>0</v>
      </c>
      <c r="K36" s="4">
        <f>'Base de données indicateurs1'!K29</f>
        <v>0</v>
      </c>
      <c r="L36" s="4">
        <f>'Base de données indicateurs1'!L29</f>
        <v>0</v>
      </c>
      <c r="M36" s="4">
        <f>'Base de données indicateurs1'!M29</f>
        <v>0</v>
      </c>
      <c r="N36" s="4">
        <f>'Base de données indicateurs1'!N29</f>
        <v>0</v>
      </c>
      <c r="O36" s="4">
        <f>'Base de données indicateurs1'!O29</f>
        <v>0</v>
      </c>
      <c r="P36" s="4">
        <f>'Base de données indicateurs1'!P29</f>
        <v>0</v>
      </c>
      <c r="Q36" s="4">
        <f>'Base de données indicateurs1'!Q29</f>
        <v>0</v>
      </c>
      <c r="R36" s="4">
        <f>'Base de données indicateurs1'!R29</f>
        <v>0</v>
      </c>
      <c r="S36" s="4">
        <f>'Base de données indicateurs1'!S29</f>
        <v>0</v>
      </c>
      <c r="T36" s="4">
        <f>'Base de données indicateurs1'!T29</f>
        <v>0</v>
      </c>
      <c r="U36" s="4">
        <f>'Base de données indicateurs1'!U29</f>
        <v>8100</v>
      </c>
      <c r="V36" s="4">
        <f>'Base de données indicateurs1'!V29</f>
        <v>0</v>
      </c>
      <c r="W36" s="4">
        <f>'Base de données indicateurs1'!W29</f>
        <v>0</v>
      </c>
      <c r="X36" s="4">
        <f>'Base de données indicateurs1'!X29</f>
        <v>0</v>
      </c>
      <c r="Y36" s="4">
        <f>'Base de données indicateurs1'!Y29</f>
        <v>0</v>
      </c>
      <c r="Z36" s="4">
        <f>'Base de données indicateurs1'!Z29</f>
        <v>0</v>
      </c>
      <c r="AA36" s="4">
        <f>'Base de données indicateurs1'!AA29</f>
        <v>0</v>
      </c>
      <c r="AB36" s="4">
        <f>'Base de données indicateurs1'!AB29</f>
        <v>0</v>
      </c>
      <c r="AC36" s="4">
        <f>'Base de données indicateurs1'!AC29</f>
        <v>0</v>
      </c>
      <c r="AD36" s="4">
        <f>'Base de données indicateurs1'!AD29</f>
        <v>0</v>
      </c>
      <c r="AE36" s="4">
        <f>'Base de données indicateurs1'!AE29</f>
        <v>0</v>
      </c>
      <c r="AF36" s="4">
        <f>'Base de données indicateurs1'!AF29</f>
        <v>0</v>
      </c>
      <c r="AG36" s="4">
        <f>'Base de données indicateurs1'!AG29</f>
        <v>0</v>
      </c>
      <c r="AH36" s="4">
        <f>'Base de données indicateurs1'!AH29</f>
        <v>0</v>
      </c>
      <c r="AI36" s="4">
        <f>'Base de données indicateurs1'!AI29</f>
        <v>0</v>
      </c>
      <c r="AJ36" s="4">
        <f>'Base de données indicateurs1'!AJ29</f>
        <v>0</v>
      </c>
      <c r="AK36" s="4">
        <f>'Base de données indicateurs1'!AK29</f>
        <v>0</v>
      </c>
      <c r="AL36" s="4">
        <f>'Base de données indicateurs1'!AL29</f>
        <v>0</v>
      </c>
      <c r="AM36" s="4">
        <f>'Base de données indicateurs1'!AM29</f>
        <v>0</v>
      </c>
      <c r="AN36" s="4">
        <f>'Base de données indicateurs1'!AN29</f>
        <v>0</v>
      </c>
      <c r="AO36" s="4">
        <f>'Base de données indicateurs1'!AO29</f>
        <v>0</v>
      </c>
      <c r="AP36" s="4">
        <f>'Base de données indicateurs1'!AP29</f>
        <v>0</v>
      </c>
      <c r="AQ36" s="4">
        <f>'Base de données indicateurs1'!AQ29</f>
        <v>0</v>
      </c>
      <c r="AR36" s="4">
        <f>'Base de données indicateurs1'!AR29</f>
        <v>0</v>
      </c>
      <c r="AS36" s="4">
        <f>'Base de données indicateurs1'!AS29</f>
        <v>0</v>
      </c>
      <c r="AT36" s="4">
        <f>'Base de données indicateurs1'!AT29</f>
        <v>0</v>
      </c>
      <c r="AU36" s="4">
        <f>'Base de données indicateurs1'!AU29</f>
        <v>0</v>
      </c>
      <c r="AV36" s="4">
        <f>'Base de données indicateurs1'!AV29</f>
        <v>0</v>
      </c>
      <c r="AW36" s="4">
        <f>'Base de données indicateurs1'!AW29</f>
        <v>0</v>
      </c>
      <c r="AX36" s="4">
        <f>'Base de données indicateurs1'!AX29</f>
        <v>0</v>
      </c>
      <c r="AY36" s="4">
        <f>'Base de données indicateurs1'!AY29</f>
        <v>0</v>
      </c>
      <c r="AZ36" s="4">
        <f>'Base de données indicateurs1'!AZ29</f>
        <v>0</v>
      </c>
      <c r="BA36" s="4">
        <f>'Base de données indicateurs1'!BA29</f>
        <v>0</v>
      </c>
      <c r="BB36" s="4">
        <f>'Base de données indicateurs1'!BB29</f>
        <v>0</v>
      </c>
      <c r="BC36" s="4">
        <f>'Base de données indicateurs1'!BC29</f>
        <v>0</v>
      </c>
      <c r="BD36" s="4">
        <f>'Base de données indicateurs1'!BD29</f>
        <v>0</v>
      </c>
      <c r="BE36" s="4">
        <f>'Base de données indicateurs1'!BE29</f>
        <v>0</v>
      </c>
      <c r="BF36" s="4">
        <f t="shared" si="0"/>
        <v>8100</v>
      </c>
      <c r="BG36" s="4">
        <f t="shared" si="1"/>
        <v>0</v>
      </c>
      <c r="BH36" s="4">
        <f t="shared" si="2"/>
        <v>0</v>
      </c>
    </row>
    <row r="37" spans="1:60" x14ac:dyDescent="0.25">
      <c r="A37" s="114" t="s">
        <v>549</v>
      </c>
      <c r="B37" s="115" t="s">
        <v>231</v>
      </c>
      <c r="C37" s="114">
        <v>366</v>
      </c>
      <c r="D37" s="116">
        <f>'Base de données indicateurs1'!BF30</f>
        <v>15247.55</v>
      </c>
      <c r="E37" s="4">
        <f>'Base de données indicateurs1'!E30</f>
        <v>0</v>
      </c>
      <c r="F37" s="4">
        <f>'Base de données indicateurs1'!F30</f>
        <v>0</v>
      </c>
      <c r="G37" s="4">
        <f>'Base de données indicateurs1'!G30</f>
        <v>0</v>
      </c>
      <c r="H37" s="4">
        <f>'Base de données indicateurs1'!H30</f>
        <v>0</v>
      </c>
      <c r="I37" s="4">
        <f>'Base de données indicateurs1'!I30</f>
        <v>0</v>
      </c>
      <c r="J37" s="4">
        <f>'Base de données indicateurs1'!J30</f>
        <v>0</v>
      </c>
      <c r="K37" s="4">
        <f>'Base de données indicateurs1'!K30</f>
        <v>0</v>
      </c>
      <c r="L37" s="4">
        <f>'Base de données indicateurs1'!L30</f>
        <v>0</v>
      </c>
      <c r="M37" s="4">
        <f>'Base de données indicateurs1'!M30</f>
        <v>0</v>
      </c>
      <c r="N37" s="4">
        <f>'Base de données indicateurs1'!N30</f>
        <v>0</v>
      </c>
      <c r="O37" s="4">
        <f>'Base de données indicateurs1'!O30</f>
        <v>15247.55</v>
      </c>
      <c r="P37" s="4">
        <f>'Base de données indicateurs1'!P30</f>
        <v>0</v>
      </c>
      <c r="Q37" s="4">
        <f>'Base de données indicateurs1'!Q30</f>
        <v>0</v>
      </c>
      <c r="R37" s="4">
        <f>'Base de données indicateurs1'!R30</f>
        <v>0</v>
      </c>
      <c r="S37" s="4">
        <f>'Base de données indicateurs1'!S30</f>
        <v>0</v>
      </c>
      <c r="T37" s="4">
        <f>'Base de données indicateurs1'!T30</f>
        <v>0</v>
      </c>
      <c r="U37" s="4">
        <f>'Base de données indicateurs1'!U30</f>
        <v>0</v>
      </c>
      <c r="V37" s="4">
        <f>'Base de données indicateurs1'!V30</f>
        <v>0</v>
      </c>
      <c r="W37" s="4">
        <f>'Base de données indicateurs1'!W30</f>
        <v>0</v>
      </c>
      <c r="X37" s="4">
        <f>'Base de données indicateurs1'!X30</f>
        <v>0</v>
      </c>
      <c r="Y37" s="4">
        <f>'Base de données indicateurs1'!Y30</f>
        <v>0</v>
      </c>
      <c r="Z37" s="4">
        <f>'Base de données indicateurs1'!Z30</f>
        <v>0</v>
      </c>
      <c r="AA37" s="4">
        <f>'Base de données indicateurs1'!AA30</f>
        <v>0</v>
      </c>
      <c r="AB37" s="4">
        <f>'Base de données indicateurs1'!AB30</f>
        <v>0</v>
      </c>
      <c r="AC37" s="4">
        <f>'Base de données indicateurs1'!AC30</f>
        <v>0</v>
      </c>
      <c r="AD37" s="4">
        <f>'Base de données indicateurs1'!AD30</f>
        <v>0</v>
      </c>
      <c r="AE37" s="4">
        <f>'Base de données indicateurs1'!AE30</f>
        <v>0</v>
      </c>
      <c r="AF37" s="4">
        <f>'Base de données indicateurs1'!AF30</f>
        <v>0</v>
      </c>
      <c r="AG37" s="4">
        <f>'Base de données indicateurs1'!AG30</f>
        <v>0</v>
      </c>
      <c r="AH37" s="4">
        <f>'Base de données indicateurs1'!AH30</f>
        <v>0</v>
      </c>
      <c r="AI37" s="4">
        <f>'Base de données indicateurs1'!AI30</f>
        <v>0</v>
      </c>
      <c r="AJ37" s="4">
        <f>'Base de données indicateurs1'!AJ30</f>
        <v>0</v>
      </c>
      <c r="AK37" s="4">
        <f>'Base de données indicateurs1'!AK30</f>
        <v>0</v>
      </c>
      <c r="AL37" s="4">
        <f>'Base de données indicateurs1'!AL30</f>
        <v>0</v>
      </c>
      <c r="AM37" s="4">
        <f>'Base de données indicateurs1'!AM30</f>
        <v>0</v>
      </c>
      <c r="AN37" s="4">
        <f>'Base de données indicateurs1'!AN30</f>
        <v>0</v>
      </c>
      <c r="AO37" s="4">
        <f>'Base de données indicateurs1'!AO30</f>
        <v>0</v>
      </c>
      <c r="AP37" s="4">
        <f>'Base de données indicateurs1'!AP30</f>
        <v>0</v>
      </c>
      <c r="AQ37" s="4">
        <f>'Base de données indicateurs1'!AQ30</f>
        <v>0</v>
      </c>
      <c r="AR37" s="4">
        <f>'Base de données indicateurs1'!AR30</f>
        <v>0</v>
      </c>
      <c r="AS37" s="4">
        <f>'Base de données indicateurs1'!AS30</f>
        <v>0</v>
      </c>
      <c r="AT37" s="4">
        <f>'Base de données indicateurs1'!AT30</f>
        <v>0</v>
      </c>
      <c r="AU37" s="4">
        <f>'Base de données indicateurs1'!AU30</f>
        <v>0</v>
      </c>
      <c r="AV37" s="4">
        <f>'Base de données indicateurs1'!AV30</f>
        <v>0</v>
      </c>
      <c r="AW37" s="4">
        <f>'Base de données indicateurs1'!AW30</f>
        <v>0</v>
      </c>
      <c r="AX37" s="4">
        <f>'Base de données indicateurs1'!AX30</f>
        <v>0</v>
      </c>
      <c r="AY37" s="4">
        <f>'Base de données indicateurs1'!AY30</f>
        <v>0</v>
      </c>
      <c r="AZ37" s="4">
        <f>'Base de données indicateurs1'!AZ30</f>
        <v>0</v>
      </c>
      <c r="BA37" s="4">
        <f>'Base de données indicateurs1'!BA30</f>
        <v>0</v>
      </c>
      <c r="BB37" s="4">
        <f>'Base de données indicateurs1'!BB30</f>
        <v>0</v>
      </c>
      <c r="BC37" s="4">
        <f>'Base de données indicateurs1'!BC30</f>
        <v>0</v>
      </c>
      <c r="BD37" s="4">
        <f>'Base de données indicateurs1'!BD30</f>
        <v>0</v>
      </c>
      <c r="BE37" s="4">
        <f>'Base de données indicateurs1'!BE30</f>
        <v>0</v>
      </c>
      <c r="BF37" s="4">
        <f t="shared" si="0"/>
        <v>15247.55</v>
      </c>
      <c r="BG37" s="4">
        <f t="shared" si="1"/>
        <v>0</v>
      </c>
      <c r="BH37" s="4">
        <f t="shared" si="2"/>
        <v>0</v>
      </c>
    </row>
    <row r="38" spans="1:60" ht="15.75" thickBot="1" x14ac:dyDescent="0.3">
      <c r="A38" s="117"/>
      <c r="B38" s="118"/>
      <c r="C38" s="117"/>
      <c r="D38" s="119"/>
      <c r="BF38" s="4"/>
      <c r="BG38" s="4"/>
      <c r="BH38" s="4"/>
    </row>
    <row r="39" spans="1:60" ht="15.75" thickBot="1" x14ac:dyDescent="0.3">
      <c r="A39" s="7" t="s">
        <v>550</v>
      </c>
      <c r="B39" s="64"/>
      <c r="C39" s="7"/>
      <c r="D39" s="120">
        <f>SUM(D32,D34:D37)-D33</f>
        <v>20535541.960000005</v>
      </c>
      <c r="E39" s="145">
        <f>SUM(E32,E34:E37)-E33</f>
        <v>490313.37000000005</v>
      </c>
      <c r="F39" s="129">
        <f t="shared" ref="F39:BE39" si="5">SUM(F32,F34:F37)-F33</f>
        <v>70627.87</v>
      </c>
      <c r="G39" s="129">
        <f t="shared" si="5"/>
        <v>81156.75</v>
      </c>
      <c r="H39" s="129">
        <f t="shared" si="5"/>
        <v>148475.86000000002</v>
      </c>
      <c r="I39" s="129">
        <f t="shared" si="5"/>
        <v>657697</v>
      </c>
      <c r="J39" s="129">
        <f t="shared" si="5"/>
        <v>935409.35</v>
      </c>
      <c r="K39" s="129">
        <f t="shared" si="5"/>
        <v>489739.66000000003</v>
      </c>
      <c r="L39" s="129">
        <f t="shared" si="5"/>
        <v>3394015.21</v>
      </c>
      <c r="M39" s="129">
        <f t="shared" si="5"/>
        <v>204938.66</v>
      </c>
      <c r="N39" s="129">
        <f t="shared" si="5"/>
        <v>0</v>
      </c>
      <c r="O39" s="129">
        <f t="shared" si="5"/>
        <v>1209006.1600000001</v>
      </c>
      <c r="P39" s="129">
        <f t="shared" si="5"/>
        <v>167217.66</v>
      </c>
      <c r="Q39" s="129">
        <f t="shared" si="5"/>
        <v>17720.079999999998</v>
      </c>
      <c r="R39" s="129">
        <f t="shared" si="5"/>
        <v>117919.09999999999</v>
      </c>
      <c r="S39" s="129">
        <f t="shared" si="5"/>
        <v>118352.28</v>
      </c>
      <c r="T39" s="129">
        <f t="shared" si="5"/>
        <v>135983.15000000002</v>
      </c>
      <c r="U39" s="129">
        <f t="shared" si="5"/>
        <v>28086.989999999998</v>
      </c>
      <c r="V39" s="129">
        <f t="shared" si="5"/>
        <v>193429.87</v>
      </c>
      <c r="W39" s="129">
        <f t="shared" si="5"/>
        <v>964694.91999999993</v>
      </c>
      <c r="X39" s="129">
        <f t="shared" si="5"/>
        <v>49427</v>
      </c>
      <c r="Y39" s="129">
        <f t="shared" si="5"/>
        <v>337217.45</v>
      </c>
      <c r="Z39" s="129">
        <f t="shared" si="5"/>
        <v>244350.19</v>
      </c>
      <c r="AA39" s="129">
        <f t="shared" si="5"/>
        <v>44531</v>
      </c>
      <c r="AB39" s="129">
        <f t="shared" si="5"/>
        <v>1313.6</v>
      </c>
      <c r="AC39" s="129">
        <f t="shared" si="5"/>
        <v>81081.81</v>
      </c>
      <c r="AD39" s="129">
        <f t="shared" si="5"/>
        <v>99839.61</v>
      </c>
      <c r="AE39" s="129">
        <f t="shared" si="5"/>
        <v>140699.63</v>
      </c>
      <c r="AF39" s="129">
        <f t="shared" si="5"/>
        <v>48537.850000000006</v>
      </c>
      <c r="AG39" s="129">
        <f t="shared" si="5"/>
        <v>497729.44999999995</v>
      </c>
      <c r="AH39" s="129">
        <f t="shared" si="5"/>
        <v>1112402.03</v>
      </c>
      <c r="AI39" s="129">
        <f t="shared" si="5"/>
        <v>49402.94</v>
      </c>
      <c r="AJ39" s="129">
        <f t="shared" si="5"/>
        <v>5210.1799999999985</v>
      </c>
      <c r="AK39" s="129">
        <f t="shared" si="5"/>
        <v>37304.61</v>
      </c>
      <c r="AL39" s="129">
        <f t="shared" si="5"/>
        <v>324685</v>
      </c>
      <c r="AM39" s="129">
        <f t="shared" si="5"/>
        <v>239104.60000000003</v>
      </c>
      <c r="AN39" s="129">
        <f t="shared" si="5"/>
        <v>11729.96</v>
      </c>
      <c r="AO39" s="129">
        <f t="shared" si="5"/>
        <v>414383.51</v>
      </c>
      <c r="AP39" s="129">
        <f t="shared" si="5"/>
        <v>82172.7</v>
      </c>
      <c r="AQ39" s="129">
        <f t="shared" si="5"/>
        <v>182441.60000000001</v>
      </c>
      <c r="AR39" s="129">
        <f t="shared" si="5"/>
        <v>567881.18999999994</v>
      </c>
      <c r="AS39" s="129">
        <f t="shared" si="5"/>
        <v>131374.51999999999</v>
      </c>
      <c r="AT39" s="129">
        <f t="shared" si="5"/>
        <v>205773.08000000002</v>
      </c>
      <c r="AU39" s="129">
        <f t="shared" si="5"/>
        <v>450381.80000000005</v>
      </c>
      <c r="AV39" s="129">
        <f t="shared" si="5"/>
        <v>486044.97</v>
      </c>
      <c r="AW39" s="129">
        <f t="shared" si="5"/>
        <v>101798.78</v>
      </c>
      <c r="AX39" s="129">
        <f t="shared" si="5"/>
        <v>15549.16</v>
      </c>
      <c r="AY39" s="129">
        <f t="shared" si="5"/>
        <v>149609.96</v>
      </c>
      <c r="AZ39" s="129">
        <f t="shared" si="5"/>
        <v>716194.39</v>
      </c>
      <c r="BA39" s="129">
        <f t="shared" si="5"/>
        <v>26968.780000000002</v>
      </c>
      <c r="BB39" s="129">
        <f t="shared" si="5"/>
        <v>434499.77</v>
      </c>
      <c r="BC39" s="129">
        <f t="shared" si="5"/>
        <v>8776.15</v>
      </c>
      <c r="BD39" s="129">
        <f t="shared" si="5"/>
        <v>3690227.77</v>
      </c>
      <c r="BE39" s="129">
        <f t="shared" si="5"/>
        <v>122112.98</v>
      </c>
      <c r="BF39" s="4">
        <f t="shared" si="0"/>
        <v>9424783.9400000013</v>
      </c>
      <c r="BG39" s="4">
        <f t="shared" si="1"/>
        <v>2711742.74</v>
      </c>
      <c r="BH39" s="4">
        <f t="shared" si="2"/>
        <v>8399015.2800000012</v>
      </c>
    </row>
    <row r="40" spans="1:60" ht="15.75" thickBot="1" x14ac:dyDescent="0.3">
      <c r="A40" s="7"/>
      <c r="B40" s="64"/>
      <c r="C40" s="7"/>
      <c r="D40" s="129"/>
      <c r="BF40" s="4"/>
      <c r="BG40" s="4"/>
      <c r="BH40" s="4"/>
    </row>
    <row r="41" spans="1:60" ht="15.75" thickBot="1" x14ac:dyDescent="0.3">
      <c r="A41" s="7" t="s">
        <v>532</v>
      </c>
      <c r="B41" s="64"/>
      <c r="C41" s="7"/>
      <c r="D41" s="142">
        <f>'Quotité d''intéret + revenus det'!D23</f>
        <v>211051448.30999997</v>
      </c>
      <c r="E41" s="4">
        <f>'Quotité d''intéret + revenus det'!E23</f>
        <v>3316356.05</v>
      </c>
      <c r="F41" s="4">
        <f>'Quotité d''intéret + revenus det'!F23</f>
        <v>708479.36</v>
      </c>
      <c r="G41" s="4">
        <f>'Quotité d''intéret + revenus det'!G23</f>
        <v>1151250.3</v>
      </c>
      <c r="H41" s="4">
        <f>'Quotité d''intéret + revenus det'!H23</f>
        <v>1031246.7000000001</v>
      </c>
      <c r="I41" s="4">
        <f>'Quotité d''intéret + revenus det'!I23</f>
        <v>7505998</v>
      </c>
      <c r="J41" s="4">
        <f>'Quotité d''intéret + revenus det'!J23</f>
        <v>9386117.5500000007</v>
      </c>
      <c r="K41" s="4">
        <f>'Quotité d''intéret + revenus det'!K23</f>
        <v>7074662.6100000003</v>
      </c>
      <c r="L41" s="4">
        <f>'Quotité d''intéret + revenus det'!L23</f>
        <v>36177201.799999997</v>
      </c>
      <c r="M41" s="4">
        <f>'Quotité d''intéret + revenus det'!M23</f>
        <v>3378882.63</v>
      </c>
      <c r="N41" s="4">
        <f>'Quotité d''intéret + revenus det'!N23</f>
        <v>0</v>
      </c>
      <c r="O41" s="4">
        <f>'Quotité d''intéret + revenus det'!O23</f>
        <v>16408899.699999999</v>
      </c>
      <c r="P41" s="4">
        <f>'Quotité d''intéret + revenus det'!P23</f>
        <v>1223857</v>
      </c>
      <c r="Q41" s="4">
        <f>'Quotité d''intéret + revenus det'!Q23</f>
        <v>187655.7</v>
      </c>
      <c r="R41" s="4">
        <f>'Quotité d''intéret + revenus det'!R23</f>
        <v>989182.65</v>
      </c>
      <c r="S41" s="4">
        <f>'Quotité d''intéret + revenus det'!S23</f>
        <v>722909.15</v>
      </c>
      <c r="T41" s="4">
        <f>'Quotité d''intéret + revenus det'!T23</f>
        <v>1998942.1</v>
      </c>
      <c r="U41" s="4">
        <f>'Quotité d''intéret + revenus det'!U23</f>
        <v>596548.80000000005</v>
      </c>
      <c r="V41" s="4">
        <f>'Quotité d''intéret + revenus det'!V23</f>
        <v>1298541.25</v>
      </c>
      <c r="W41" s="4">
        <f>'Quotité d''intéret + revenus det'!W23</f>
        <v>7360026.75</v>
      </c>
      <c r="X41" s="4">
        <f>'Quotité d''intéret + revenus det'!X23</f>
        <v>848811</v>
      </c>
      <c r="Y41" s="4">
        <f>'Quotité d''intéret + revenus det'!Y23</f>
        <v>3758598.17</v>
      </c>
      <c r="Z41" s="4">
        <f>'Quotité d''intéret + revenus det'!Z23</f>
        <v>9516564.6999999993</v>
      </c>
      <c r="AA41" s="4">
        <f>'Quotité d''intéret + revenus det'!AA23</f>
        <v>50942</v>
      </c>
      <c r="AB41" s="4">
        <f>'Quotité d''intéret + revenus det'!AB23</f>
        <v>286207.2</v>
      </c>
      <c r="AC41" s="4">
        <f>'Quotité d''intéret + revenus det'!AC23</f>
        <v>857901.03</v>
      </c>
      <c r="AD41" s="4">
        <f>'Quotité d''intéret + revenus det'!AD23</f>
        <v>1168568.55</v>
      </c>
      <c r="AE41" s="4">
        <f>'Quotité d''intéret + revenus det'!AE23</f>
        <v>1230165.25</v>
      </c>
      <c r="AF41" s="4">
        <f>'Quotité d''intéret + revenus det'!AF23</f>
        <v>1252296.1499999999</v>
      </c>
      <c r="AG41" s="4">
        <f>'Quotité d''intéret + revenus det'!AG23</f>
        <v>6915032.8499999996</v>
      </c>
      <c r="AH41" s="4">
        <f>'Quotité d''intéret + revenus det'!AH23</f>
        <v>7675902</v>
      </c>
      <c r="AI41" s="4">
        <f>'Quotité d''intéret + revenus det'!AI23</f>
        <v>521416.35</v>
      </c>
      <c r="AJ41" s="4">
        <f>'Quotité d''intéret + revenus det'!AJ23</f>
        <v>298886.64999999997</v>
      </c>
      <c r="AK41" s="4">
        <f>'Quotité d''intéret + revenus det'!AK23</f>
        <v>5427042.9000000004</v>
      </c>
      <c r="AL41" s="4">
        <f>'Quotité d''intéret + revenus det'!AL23</f>
        <v>2482113.44</v>
      </c>
      <c r="AM41" s="4">
        <f>'Quotité d''intéret + revenus det'!AM23</f>
        <v>2961017.4</v>
      </c>
      <c r="AN41" s="4">
        <f>'Quotité d''intéret + revenus det'!AN23</f>
        <v>334540.34999999998</v>
      </c>
      <c r="AO41" s="4">
        <f>'Quotité d''intéret + revenus det'!AO23</f>
        <v>6828835.9500000002</v>
      </c>
      <c r="AP41" s="4">
        <f>'Quotité d''intéret + revenus det'!AP23</f>
        <v>1931797.0799999998</v>
      </c>
      <c r="AQ41" s="4">
        <f>'Quotité d''intéret + revenus det'!AQ23</f>
        <v>1951760</v>
      </c>
      <c r="AR41" s="4">
        <f>'Quotité d''intéret + revenus det'!AR23</f>
        <v>3322751.6</v>
      </c>
      <c r="AS41" s="4">
        <f>'Quotité d''intéret + revenus det'!AS23</f>
        <v>1689242</v>
      </c>
      <c r="AT41" s="4">
        <f>'Quotité d''intéret + revenus det'!AT23</f>
        <v>2391707.9500000002</v>
      </c>
      <c r="AU41" s="4">
        <f>'Quotité d''intéret + revenus det'!AU23</f>
        <v>2254217.35</v>
      </c>
      <c r="AV41" s="4">
        <f>'Quotité d''intéret + revenus det'!AV23</f>
        <v>5553039.5300000003</v>
      </c>
      <c r="AW41" s="4">
        <f>'Quotité d''intéret + revenus det'!AW23</f>
        <v>2202056.9</v>
      </c>
      <c r="AX41" s="4">
        <f>'Quotité d''intéret + revenus det'!AX23</f>
        <v>378808.9</v>
      </c>
      <c r="AY41" s="4">
        <f>'Quotité d''intéret + revenus det'!AY23</f>
        <v>902646.45</v>
      </c>
      <c r="AZ41" s="4">
        <f>'Quotité d''intéret + revenus det'!AZ23</f>
        <v>4857539.6000000006</v>
      </c>
      <c r="BA41" s="4">
        <f>'Quotité d''intéret + revenus det'!BA23</f>
        <v>984706.9</v>
      </c>
      <c r="BB41" s="4">
        <f>'Quotité d''intéret + revenus det'!BB23</f>
        <v>3613483.71</v>
      </c>
      <c r="BC41" s="4">
        <f>'Quotité d''intéret + revenus det'!BC23</f>
        <v>341683.35</v>
      </c>
      <c r="BD41" s="4">
        <f>'Quotité d''intéret + revenus det'!BD23</f>
        <v>24686130.600000001</v>
      </c>
      <c r="BE41" s="4">
        <f>'Quotité d''intéret + revenus det'!BE23</f>
        <v>1058276.3500000001</v>
      </c>
      <c r="BF41" s="4">
        <f t="shared" si="0"/>
        <v>100516758.10000001</v>
      </c>
      <c r="BG41" s="4">
        <f t="shared" si="1"/>
        <v>34381291.899999999</v>
      </c>
      <c r="BH41" s="4">
        <f t="shared" si="2"/>
        <v>76153398.310000002</v>
      </c>
    </row>
    <row r="42" spans="1:60" ht="15.75" thickBot="1" x14ac:dyDescent="0.3">
      <c r="B42" s="121"/>
      <c r="D42" s="4"/>
      <c r="BF42" s="4"/>
      <c r="BG42" s="4"/>
      <c r="BH42" s="4"/>
    </row>
    <row r="43" spans="1:60" ht="15.75" thickBot="1" x14ac:dyDescent="0.3">
      <c r="A43" s="7" t="s">
        <v>551</v>
      </c>
      <c r="B43" s="121"/>
      <c r="D43" s="120">
        <f>IF(D41&lt;&gt;0,D39/D41,"")*100</f>
        <v>9.7301118397617721</v>
      </c>
      <c r="E43" s="145">
        <f>IF(E41&lt;&gt;0,E39/E41,"")*100</f>
        <v>14.784702324106608</v>
      </c>
      <c r="F43" s="129">
        <f t="shared" ref="F43:BH43" si="6">IF(F41&lt;&gt;0,F39/F41,"")*100</f>
        <v>9.968938262365187</v>
      </c>
      <c r="G43" s="129">
        <f t="shared" si="6"/>
        <v>7.0494444170828885</v>
      </c>
      <c r="H43" s="129">
        <f t="shared" si="6"/>
        <v>14.397705224171869</v>
      </c>
      <c r="I43" s="129">
        <f t="shared" si="6"/>
        <v>8.7622858412698754</v>
      </c>
      <c r="J43" s="129">
        <f t="shared" si="6"/>
        <v>9.9658814735385448</v>
      </c>
      <c r="K43" s="129">
        <f t="shared" si="6"/>
        <v>6.9224454507237629</v>
      </c>
      <c r="L43" s="129">
        <f t="shared" si="6"/>
        <v>9.3816410367039502</v>
      </c>
      <c r="M43" s="129">
        <f t="shared" si="6"/>
        <v>6.0652790416694646</v>
      </c>
      <c r="N43" s="129" t="e">
        <f t="shared" si="6"/>
        <v>#VALUE!</v>
      </c>
      <c r="O43" s="129">
        <f t="shared" si="6"/>
        <v>7.3679904326552759</v>
      </c>
      <c r="P43" s="129">
        <f t="shared" si="6"/>
        <v>13.663169798432333</v>
      </c>
      <c r="Q43" s="129">
        <f t="shared" si="6"/>
        <v>9.442867975766255</v>
      </c>
      <c r="R43" s="129">
        <f t="shared" si="6"/>
        <v>11.920862138049024</v>
      </c>
      <c r="S43" s="129">
        <f t="shared" si="6"/>
        <v>16.371667172839079</v>
      </c>
      <c r="T43" s="129">
        <f t="shared" si="6"/>
        <v>6.8027558176897678</v>
      </c>
      <c r="U43" s="129">
        <f t="shared" si="6"/>
        <v>4.7082468357995184</v>
      </c>
      <c r="V43" s="129">
        <f t="shared" si="6"/>
        <v>14.895935727879264</v>
      </c>
      <c r="W43" s="129">
        <f t="shared" si="6"/>
        <v>13.107220296447972</v>
      </c>
      <c r="X43" s="129">
        <f t="shared" si="6"/>
        <v>5.8230866470863365</v>
      </c>
      <c r="Y43" s="129">
        <f t="shared" si="6"/>
        <v>8.9718941676598529</v>
      </c>
      <c r="Z43" s="129">
        <f t="shared" si="6"/>
        <v>2.5676302079888136</v>
      </c>
      <c r="AA43" s="129">
        <f t="shared" si="6"/>
        <v>87.415099524949952</v>
      </c>
      <c r="AB43" s="129">
        <f t="shared" si="6"/>
        <v>0.45896818808192102</v>
      </c>
      <c r="AC43" s="129">
        <f t="shared" si="6"/>
        <v>9.4511845964329932</v>
      </c>
      <c r="AD43" s="129">
        <f t="shared" si="6"/>
        <v>8.5437529531322749</v>
      </c>
      <c r="AE43" s="129">
        <f t="shared" si="6"/>
        <v>11.437457691151657</v>
      </c>
      <c r="AF43" s="129">
        <f t="shared" si="6"/>
        <v>3.8759082665869418</v>
      </c>
      <c r="AG43" s="129">
        <f t="shared" si="6"/>
        <v>7.1977886554797781</v>
      </c>
      <c r="AH43" s="129">
        <f t="shared" si="6"/>
        <v>14.492134344602107</v>
      </c>
      <c r="AI43" s="129">
        <f t="shared" si="6"/>
        <v>9.4747585111207204</v>
      </c>
      <c r="AJ43" s="129">
        <f t="shared" si="6"/>
        <v>1.7431959573972269</v>
      </c>
      <c r="AK43" s="129">
        <f t="shared" si="6"/>
        <v>0.68738373157138666</v>
      </c>
      <c r="AL43" s="129">
        <f t="shared" si="6"/>
        <v>13.080989561863055</v>
      </c>
      <c r="AM43" s="129">
        <f t="shared" si="6"/>
        <v>8.0750825712810759</v>
      </c>
      <c r="AN43" s="129">
        <f t="shared" si="6"/>
        <v>3.50629154300819</v>
      </c>
      <c r="AO43" s="129">
        <f t="shared" si="6"/>
        <v>6.0681426971459169</v>
      </c>
      <c r="AP43" s="129">
        <f t="shared" si="6"/>
        <v>4.2536921113888422</v>
      </c>
      <c r="AQ43" s="129">
        <f t="shared" si="6"/>
        <v>9.3475427306636067</v>
      </c>
      <c r="AR43" s="129">
        <f t="shared" si="6"/>
        <v>17.090690438611176</v>
      </c>
      <c r="AS43" s="129">
        <f t="shared" si="6"/>
        <v>7.7771284398564555</v>
      </c>
      <c r="AT43" s="129">
        <f t="shared" si="6"/>
        <v>8.6036039642716418</v>
      </c>
      <c r="AU43" s="129">
        <f t="shared" si="6"/>
        <v>19.979519721112961</v>
      </c>
      <c r="AV43" s="129">
        <f t="shared" si="6"/>
        <v>8.7527734563056487</v>
      </c>
      <c r="AW43" s="129">
        <f t="shared" si="6"/>
        <v>4.622895075962842</v>
      </c>
      <c r="AX43" s="129">
        <f t="shared" si="6"/>
        <v>4.1047504427694275</v>
      </c>
      <c r="AY43" s="129">
        <f t="shared" si="6"/>
        <v>16.574591303161942</v>
      </c>
      <c r="AZ43" s="129">
        <f t="shared" si="6"/>
        <v>14.743974295134926</v>
      </c>
      <c r="BA43" s="129">
        <f t="shared" si="6"/>
        <v>2.7387621636448372</v>
      </c>
      <c r="BB43" s="129">
        <f t="shared" si="6"/>
        <v>12.024400962361057</v>
      </c>
      <c r="BC43" s="129">
        <f t="shared" si="6"/>
        <v>2.568503850129074</v>
      </c>
      <c r="BD43" s="129">
        <f t="shared" si="6"/>
        <v>14.948587244369516</v>
      </c>
      <c r="BE43" s="129">
        <f t="shared" si="6"/>
        <v>11.53885561176908</v>
      </c>
      <c r="BF43" s="129">
        <f t="shared" si="6"/>
        <v>9.3763309901257159</v>
      </c>
      <c r="BG43" s="129">
        <f t="shared" si="6"/>
        <v>7.8872624911456581</v>
      </c>
      <c r="BH43" s="129">
        <f t="shared" si="6"/>
        <v>11.029074823174495</v>
      </c>
    </row>
    <row r="44" spans="1:60" x14ac:dyDescent="0.25">
      <c r="A44" s="123" t="s">
        <v>552</v>
      </c>
      <c r="B44" s="121"/>
      <c r="D44" s="4"/>
    </row>
    <row r="45" spans="1:60" x14ac:dyDescent="0.25">
      <c r="D45" s="4"/>
    </row>
    <row r="46" spans="1:60" x14ac:dyDescent="0.25">
      <c r="D46" s="4"/>
    </row>
  </sheetData>
  <mergeCells count="1">
    <mergeCell ref="A8:D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9"/>
  <sheetViews>
    <sheetView workbookViewId="0">
      <pane xSplit="4" ySplit="11" topLeftCell="E34" activePane="bottomRight" state="frozen"/>
      <selection pane="topRight" activeCell="E1" sqref="E1"/>
      <selection pane="bottomLeft" activeCell="A12" sqref="A12"/>
      <selection pane="bottomRight" activeCell="C48" sqref="C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553</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30">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ht="15.75" thickBot="1" x14ac:dyDescent="0.3">
      <c r="B16" s="121"/>
      <c r="D16" s="4"/>
      <c r="BF16" s="4"/>
      <c r="BG16" s="4"/>
      <c r="BH16" s="4"/>
    </row>
    <row r="17" spans="1:60" ht="15.75" thickBot="1" x14ac:dyDescent="0.3">
      <c r="A17" s="7" t="s">
        <v>554</v>
      </c>
      <c r="B17" s="121"/>
      <c r="D17" s="143">
        <f>'Base de données indicateurs1'!BF2</f>
        <v>73709</v>
      </c>
      <c r="E17" s="1">
        <f>E10</f>
        <v>923</v>
      </c>
      <c r="F17" s="1">
        <f t="shared" ref="F17:BE17" si="4">F10</f>
        <v>270</v>
      </c>
      <c r="G17" s="1">
        <f t="shared" si="4"/>
        <v>485</v>
      </c>
      <c r="H17" s="1">
        <f t="shared" si="4"/>
        <v>446</v>
      </c>
      <c r="I17" s="1">
        <f t="shared" si="4"/>
        <v>3631</v>
      </c>
      <c r="J17" s="1">
        <f t="shared" si="4"/>
        <v>3313</v>
      </c>
      <c r="K17" s="1">
        <f t="shared" si="4"/>
        <v>2644</v>
      </c>
      <c r="L17" s="1">
        <f t="shared" si="4"/>
        <v>12618</v>
      </c>
      <c r="M17" s="1">
        <f t="shared" si="4"/>
        <v>1371</v>
      </c>
      <c r="N17" s="1">
        <f t="shared" si="4"/>
        <v>118</v>
      </c>
      <c r="O17" s="1">
        <f t="shared" si="4"/>
        <v>7167</v>
      </c>
      <c r="P17" s="1">
        <f t="shared" si="4"/>
        <v>528</v>
      </c>
      <c r="Q17" s="1">
        <f t="shared" si="4"/>
        <v>108</v>
      </c>
      <c r="R17" s="1">
        <f t="shared" si="4"/>
        <v>415</v>
      </c>
      <c r="S17" s="1">
        <f t="shared" si="4"/>
        <v>349</v>
      </c>
      <c r="T17" s="1">
        <f t="shared" si="4"/>
        <v>687</v>
      </c>
      <c r="U17" s="1">
        <f t="shared" si="4"/>
        <v>255</v>
      </c>
      <c r="V17" s="1">
        <f t="shared" si="4"/>
        <v>436</v>
      </c>
      <c r="W17" s="1">
        <f t="shared" si="4"/>
        <v>3190</v>
      </c>
      <c r="X17" s="1">
        <f t="shared" si="4"/>
        <v>324</v>
      </c>
      <c r="Y17" s="1">
        <f t="shared" si="4"/>
        <v>1246</v>
      </c>
      <c r="Z17" s="1">
        <f t="shared" si="4"/>
        <v>1528</v>
      </c>
      <c r="AA17" s="1">
        <f t="shared" si="4"/>
        <v>96</v>
      </c>
      <c r="AB17" s="1">
        <f t="shared" si="4"/>
        <v>149</v>
      </c>
      <c r="AC17" s="1">
        <f t="shared" si="4"/>
        <v>516</v>
      </c>
      <c r="AD17" s="1">
        <f t="shared" si="4"/>
        <v>671</v>
      </c>
      <c r="AE17" s="1">
        <f t="shared" si="4"/>
        <v>572</v>
      </c>
      <c r="AF17" s="1">
        <f t="shared" si="4"/>
        <v>490</v>
      </c>
      <c r="AG17" s="1">
        <f t="shared" si="4"/>
        <v>1914</v>
      </c>
      <c r="AH17" s="1">
        <f t="shared" si="4"/>
        <v>2615</v>
      </c>
      <c r="AI17" s="1">
        <f t="shared" si="4"/>
        <v>227</v>
      </c>
      <c r="AJ17" s="1">
        <f t="shared" si="4"/>
        <v>131</v>
      </c>
      <c r="AK17" s="1">
        <f t="shared" si="4"/>
        <v>1895</v>
      </c>
      <c r="AL17" s="1">
        <f t="shared" si="4"/>
        <v>1135</v>
      </c>
      <c r="AM17" s="1">
        <f t="shared" si="4"/>
        <v>1241</v>
      </c>
      <c r="AN17" s="1">
        <f t="shared" si="4"/>
        <v>119</v>
      </c>
      <c r="AO17" s="1">
        <f t="shared" si="4"/>
        <v>1195</v>
      </c>
      <c r="AP17" s="1">
        <f t="shared" si="4"/>
        <v>663</v>
      </c>
      <c r="AQ17" s="1">
        <f t="shared" si="4"/>
        <v>645</v>
      </c>
      <c r="AR17" s="1">
        <f t="shared" si="4"/>
        <v>1263</v>
      </c>
      <c r="AS17" s="1">
        <f t="shared" si="4"/>
        <v>740</v>
      </c>
      <c r="AT17" s="1">
        <f t="shared" si="4"/>
        <v>1028</v>
      </c>
      <c r="AU17" s="1">
        <f t="shared" si="4"/>
        <v>314</v>
      </c>
      <c r="AV17" s="1">
        <f t="shared" si="4"/>
        <v>2400</v>
      </c>
      <c r="AW17" s="1">
        <f t="shared" si="4"/>
        <v>755</v>
      </c>
      <c r="AX17" s="1">
        <f t="shared" si="4"/>
        <v>181</v>
      </c>
      <c r="AY17" s="1">
        <f t="shared" si="4"/>
        <v>347</v>
      </c>
      <c r="AZ17" s="1">
        <f t="shared" si="4"/>
        <v>1690</v>
      </c>
      <c r="BA17" s="1">
        <f t="shared" si="4"/>
        <v>387</v>
      </c>
      <c r="BB17" s="1">
        <f t="shared" si="4"/>
        <v>1096</v>
      </c>
      <c r="BC17" s="1">
        <f t="shared" si="4"/>
        <v>188</v>
      </c>
      <c r="BD17" s="1">
        <f t="shared" si="4"/>
        <v>6434</v>
      </c>
      <c r="BE17" s="1">
        <f t="shared" si="4"/>
        <v>560</v>
      </c>
      <c r="BF17" s="4">
        <f t="shared" si="0"/>
        <v>38954</v>
      </c>
      <c r="BG17" s="4">
        <f t="shared" si="1"/>
        <v>10479</v>
      </c>
      <c r="BH17" s="4">
        <f t="shared" si="2"/>
        <v>24276</v>
      </c>
    </row>
    <row r="18" spans="1:60" ht="15.75" thickBot="1" x14ac:dyDescent="0.3">
      <c r="A18" s="123"/>
      <c r="B18" s="121"/>
      <c r="D18" s="4"/>
      <c r="BF18" s="4"/>
      <c r="BG18" s="4"/>
      <c r="BH18" s="4"/>
    </row>
    <row r="19" spans="1:60" ht="15.75" thickBot="1" x14ac:dyDescent="0.3">
      <c r="A19" s="7" t="s">
        <v>555</v>
      </c>
      <c r="B19" s="121"/>
      <c r="D19" s="120">
        <f>IF(D17="","",D15/D17)</f>
        <v>3363.7745611797686</v>
      </c>
      <c r="E19" s="145">
        <f>IF(E17="","",E15/E17)</f>
        <v>2146.8497291440954</v>
      </c>
      <c r="F19" s="129">
        <f t="shared" ref="F19:BH19" si="5">IF(F17="","",F15/F17)</f>
        <v>1287.0372222222225</v>
      </c>
      <c r="G19" s="129">
        <f t="shared" si="5"/>
        <v>4356.8770927835048</v>
      </c>
      <c r="H19" s="129">
        <f t="shared" si="5"/>
        <v>748.47730941704219</v>
      </c>
      <c r="I19" s="129">
        <f t="shared" si="5"/>
        <v>3076.3335169374827</v>
      </c>
      <c r="J19" s="129">
        <f t="shared" si="5"/>
        <v>3957.8879957742233</v>
      </c>
      <c r="K19" s="129">
        <f t="shared" si="5"/>
        <v>387.61345310136113</v>
      </c>
      <c r="L19" s="129">
        <f t="shared" si="5"/>
        <v>5589.0641440798863</v>
      </c>
      <c r="M19" s="129">
        <f t="shared" si="5"/>
        <v>1549.8934719183076</v>
      </c>
      <c r="N19" s="129">
        <f t="shared" si="5"/>
        <v>0</v>
      </c>
      <c r="O19" s="129">
        <f t="shared" si="5"/>
        <v>3012.9456815962053</v>
      </c>
      <c r="P19" s="129">
        <f t="shared" si="5"/>
        <v>2589.5717613636357</v>
      </c>
      <c r="Q19" s="129">
        <f t="shared" si="5"/>
        <v>2268.837962962963</v>
      </c>
      <c r="R19" s="129">
        <f t="shared" si="5"/>
        <v>4519.2737831325303</v>
      </c>
      <c r="S19" s="129">
        <f t="shared" si="5"/>
        <v>6172.5720057306598</v>
      </c>
      <c r="T19" s="129">
        <f t="shared" si="5"/>
        <v>309.52333333333235</v>
      </c>
      <c r="U19" s="129">
        <f t="shared" si="5"/>
        <v>1148.1851372549013</v>
      </c>
      <c r="V19" s="129">
        <f t="shared" si="5"/>
        <v>1007.3662844036702</v>
      </c>
      <c r="W19" s="129">
        <f t="shared" si="5"/>
        <v>3265.9021442006269</v>
      </c>
      <c r="X19" s="129">
        <f t="shared" si="5"/>
        <v>-3334.9074074074074</v>
      </c>
      <c r="Y19" s="129">
        <f t="shared" si="5"/>
        <v>6249.259967897272</v>
      </c>
      <c r="Z19" s="129">
        <f t="shared" si="5"/>
        <v>-5880.4168128272258</v>
      </c>
      <c r="AA19" s="129">
        <f t="shared" si="5"/>
        <v>1416.5729166666667</v>
      </c>
      <c r="AB19" s="129">
        <f t="shared" si="5"/>
        <v>1068.7534228187919</v>
      </c>
      <c r="AC19" s="129">
        <f t="shared" si="5"/>
        <v>507.19215116279054</v>
      </c>
      <c r="AD19" s="129">
        <f t="shared" si="5"/>
        <v>9841.0510134128181</v>
      </c>
      <c r="AE19" s="129">
        <f t="shared" si="5"/>
        <v>2247.7640384615379</v>
      </c>
      <c r="AF19" s="129">
        <f t="shared" si="5"/>
        <v>-6328.4958163265301</v>
      </c>
      <c r="AG19" s="129">
        <f t="shared" si="5"/>
        <v>-563.04482236154649</v>
      </c>
      <c r="AH19" s="129">
        <f t="shared" si="5"/>
        <v>3895.6585086042064</v>
      </c>
      <c r="AI19" s="129">
        <f t="shared" si="5"/>
        <v>537.50220264317181</v>
      </c>
      <c r="AJ19" s="129">
        <f t="shared" si="5"/>
        <v>-8633.8858778625963</v>
      </c>
      <c r="AK19" s="129">
        <f t="shared" si="5"/>
        <v>5997.8113773087061</v>
      </c>
      <c r="AL19" s="129">
        <f t="shared" si="5"/>
        <v>-2980.0607929515418</v>
      </c>
      <c r="AM19" s="129">
        <f t="shared" si="5"/>
        <v>5517.3569298952461</v>
      </c>
      <c r="AN19" s="129">
        <f t="shared" si="5"/>
        <v>-4352.1665546218483</v>
      </c>
      <c r="AO19" s="129">
        <f t="shared" si="5"/>
        <v>-3215.9774309623426</v>
      </c>
      <c r="AP19" s="129">
        <f t="shared" si="5"/>
        <v>2201.8834690799395</v>
      </c>
      <c r="AQ19" s="129">
        <f t="shared" si="5"/>
        <v>1438.9178294573644</v>
      </c>
      <c r="AR19" s="129">
        <f t="shared" si="5"/>
        <v>-1600.0405304829767</v>
      </c>
      <c r="AS19" s="129">
        <f t="shared" si="5"/>
        <v>4242.3674189189196</v>
      </c>
      <c r="AT19" s="129">
        <f t="shared" si="5"/>
        <v>4951.465145914397</v>
      </c>
      <c r="AU19" s="129">
        <f t="shared" si="5"/>
        <v>-5761.6688853503192</v>
      </c>
      <c r="AV19" s="129">
        <f t="shared" si="5"/>
        <v>4083.5316291666668</v>
      </c>
      <c r="AW19" s="129">
        <f t="shared" si="5"/>
        <v>3897.0930728476819</v>
      </c>
      <c r="AX19" s="129">
        <f t="shared" si="5"/>
        <v>1675.7038674033151</v>
      </c>
      <c r="AY19" s="129">
        <f t="shared" si="5"/>
        <v>179.72553314121041</v>
      </c>
      <c r="AZ19" s="129">
        <f t="shared" si="5"/>
        <v>9902.1199822485196</v>
      </c>
      <c r="BA19" s="129">
        <f t="shared" si="5"/>
        <v>-1086.2502325581397</v>
      </c>
      <c r="BB19" s="129">
        <f t="shared" si="5"/>
        <v>5775.112062043796</v>
      </c>
      <c r="BC19" s="129">
        <f t="shared" si="5"/>
        <v>-3034.8407446808515</v>
      </c>
      <c r="BD19" s="129">
        <f t="shared" si="5"/>
        <v>6351.1389306807578</v>
      </c>
      <c r="BE19" s="129">
        <f t="shared" si="5"/>
        <v>3825.9403749999997</v>
      </c>
      <c r="BF19" s="129">
        <f t="shared" si="5"/>
        <v>3628.1221302048571</v>
      </c>
      <c r="BG19" s="129">
        <f t="shared" si="5"/>
        <v>1065.5877383338104</v>
      </c>
      <c r="BH19" s="129">
        <f t="shared" si="5"/>
        <v>3931.6318899324424</v>
      </c>
    </row>
    <row r="20" spans="1:60" x14ac:dyDescent="0.25">
      <c r="A20" s="123" t="s">
        <v>556</v>
      </c>
      <c r="B20" s="121"/>
      <c r="D20" s="4"/>
      <c r="BF20" s="4"/>
      <c r="BG20" s="4"/>
      <c r="BH20" s="4"/>
    </row>
    <row r="21" spans="1:60" x14ac:dyDescent="0.25">
      <c r="A21" s="123"/>
      <c r="B21" s="121"/>
      <c r="D21" s="4"/>
      <c r="BF21" s="4"/>
      <c r="BG21" s="4"/>
      <c r="BH21" s="4"/>
    </row>
    <row r="22" spans="1:60" x14ac:dyDescent="0.25">
      <c r="A22" s="7" t="s">
        <v>557</v>
      </c>
      <c r="B22" s="110"/>
      <c r="C22" s="65" t="s">
        <v>507</v>
      </c>
      <c r="D22" s="128" t="s">
        <v>508</v>
      </c>
      <c r="BF22" s="4"/>
      <c r="BG22" s="4"/>
      <c r="BH22" s="4"/>
    </row>
    <row r="23" spans="1:60" ht="15.75" thickBot="1" x14ac:dyDescent="0.3">
      <c r="B23" s="110"/>
      <c r="D23" s="4"/>
      <c r="BF23" s="4"/>
      <c r="BG23" s="4"/>
      <c r="BH23" s="4"/>
    </row>
    <row r="24" spans="1:60" ht="15.75" thickBot="1" x14ac:dyDescent="0.3">
      <c r="A24" s="7" t="s">
        <v>558</v>
      </c>
      <c r="D24" s="120">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A25" s="7"/>
      <c r="D25" s="4"/>
      <c r="BF25" s="4"/>
      <c r="BG25" s="4"/>
      <c r="BH25" s="4"/>
    </row>
    <row r="26" spans="1:60" ht="15.75" thickBot="1" x14ac:dyDescent="0.3">
      <c r="A26" s="7" t="s">
        <v>532</v>
      </c>
      <c r="D26" s="120">
        <f>'Quotité d''intéret + revenus det'!D23</f>
        <v>211051448.30999997</v>
      </c>
      <c r="E26" s="4">
        <f>'Quotité d''intéret + revenus det'!E23</f>
        <v>3316356.05</v>
      </c>
      <c r="F26" s="4">
        <f>'Quotité d''intéret + revenus det'!F23</f>
        <v>708479.36</v>
      </c>
      <c r="G26" s="4">
        <f>'Quotité d''intéret + revenus det'!G23</f>
        <v>1151250.3</v>
      </c>
      <c r="H26" s="4">
        <f>'Quotité d''intéret + revenus det'!H23</f>
        <v>1031246.7000000001</v>
      </c>
      <c r="I26" s="4">
        <f>'Quotité d''intéret + revenus det'!I23</f>
        <v>7505998</v>
      </c>
      <c r="J26" s="4">
        <f>'Quotité d''intéret + revenus det'!J23</f>
        <v>9386117.5500000007</v>
      </c>
      <c r="K26" s="4">
        <f>'Quotité d''intéret + revenus det'!K23</f>
        <v>7074662.6100000003</v>
      </c>
      <c r="L26" s="4">
        <f>'Quotité d''intéret + revenus det'!L23</f>
        <v>36177201.799999997</v>
      </c>
      <c r="M26" s="4">
        <f>'Quotité d''intéret + revenus det'!M23</f>
        <v>3378882.63</v>
      </c>
      <c r="N26" s="4">
        <f>'Quotité d''intéret + revenus det'!N23</f>
        <v>0</v>
      </c>
      <c r="O26" s="4">
        <f>'Quotité d''intéret + revenus det'!O23</f>
        <v>16408899.699999999</v>
      </c>
      <c r="P26" s="4">
        <f>'Quotité d''intéret + revenus det'!P23</f>
        <v>1223857</v>
      </c>
      <c r="Q26" s="4">
        <f>'Quotité d''intéret + revenus det'!Q23</f>
        <v>187655.7</v>
      </c>
      <c r="R26" s="4">
        <f>'Quotité d''intéret + revenus det'!R23</f>
        <v>989182.65</v>
      </c>
      <c r="S26" s="4">
        <f>'Quotité d''intéret + revenus det'!S23</f>
        <v>722909.15</v>
      </c>
      <c r="T26" s="4">
        <f>'Quotité d''intéret + revenus det'!T23</f>
        <v>1998942.1</v>
      </c>
      <c r="U26" s="4">
        <f>'Quotité d''intéret + revenus det'!U23</f>
        <v>596548.80000000005</v>
      </c>
      <c r="V26" s="4">
        <f>'Quotité d''intéret + revenus det'!V23</f>
        <v>1298541.25</v>
      </c>
      <c r="W26" s="4">
        <f>'Quotité d''intéret + revenus det'!W23</f>
        <v>7360026.75</v>
      </c>
      <c r="X26" s="4">
        <f>'Quotité d''intéret + revenus det'!X23</f>
        <v>848811</v>
      </c>
      <c r="Y26" s="4">
        <f>'Quotité d''intéret + revenus det'!Y23</f>
        <v>3758598.17</v>
      </c>
      <c r="Z26" s="4">
        <f>'Quotité d''intéret + revenus det'!Z23</f>
        <v>9516564.6999999993</v>
      </c>
      <c r="AA26" s="4">
        <f>'Quotité d''intéret + revenus det'!AA23</f>
        <v>50942</v>
      </c>
      <c r="AB26" s="4">
        <f>'Quotité d''intéret + revenus det'!AB23</f>
        <v>286207.2</v>
      </c>
      <c r="AC26" s="4">
        <f>'Quotité d''intéret + revenus det'!AC23</f>
        <v>857901.03</v>
      </c>
      <c r="AD26" s="4">
        <f>'Quotité d''intéret + revenus det'!AD23</f>
        <v>1168568.55</v>
      </c>
      <c r="AE26" s="4">
        <f>'Quotité d''intéret + revenus det'!AE23</f>
        <v>1230165.25</v>
      </c>
      <c r="AF26" s="4">
        <f>'Quotité d''intéret + revenus det'!AF23</f>
        <v>1252296.1499999999</v>
      </c>
      <c r="AG26" s="4">
        <f>'Quotité d''intéret + revenus det'!AG23</f>
        <v>6915032.8499999996</v>
      </c>
      <c r="AH26" s="4">
        <f>'Quotité d''intéret + revenus det'!AH23</f>
        <v>7675902</v>
      </c>
      <c r="AI26" s="4">
        <f>'Quotité d''intéret + revenus det'!AI23</f>
        <v>521416.35</v>
      </c>
      <c r="AJ26" s="4">
        <f>'Quotité d''intéret + revenus det'!AJ23</f>
        <v>298886.64999999997</v>
      </c>
      <c r="AK26" s="4">
        <f>'Quotité d''intéret + revenus det'!AK23</f>
        <v>5427042.9000000004</v>
      </c>
      <c r="AL26" s="4">
        <f>'Quotité d''intéret + revenus det'!AL23</f>
        <v>2482113.44</v>
      </c>
      <c r="AM26" s="4">
        <f>'Quotité d''intéret + revenus det'!AM23</f>
        <v>2961017.4</v>
      </c>
      <c r="AN26" s="4">
        <f>'Quotité d''intéret + revenus det'!AN23</f>
        <v>334540.34999999998</v>
      </c>
      <c r="AO26" s="4">
        <f>'Quotité d''intéret + revenus det'!AO23</f>
        <v>6828835.9500000002</v>
      </c>
      <c r="AP26" s="4">
        <f>'Quotité d''intéret + revenus det'!AP23</f>
        <v>1931797.0799999998</v>
      </c>
      <c r="AQ26" s="4">
        <f>'Quotité d''intéret + revenus det'!AQ23</f>
        <v>1951760</v>
      </c>
      <c r="AR26" s="4">
        <f>'Quotité d''intéret + revenus det'!AR23</f>
        <v>3322751.6</v>
      </c>
      <c r="AS26" s="4">
        <f>'Quotité d''intéret + revenus det'!AS23</f>
        <v>1689242</v>
      </c>
      <c r="AT26" s="4">
        <f>'Quotité d''intéret + revenus det'!AT23</f>
        <v>2391707.9500000002</v>
      </c>
      <c r="AU26" s="4">
        <f>'Quotité d''intéret + revenus det'!AU23</f>
        <v>2254217.35</v>
      </c>
      <c r="AV26" s="4">
        <f>'Quotité d''intéret + revenus det'!AV23</f>
        <v>5553039.5300000003</v>
      </c>
      <c r="AW26" s="4">
        <f>'Quotité d''intéret + revenus det'!AW23</f>
        <v>2202056.9</v>
      </c>
      <c r="AX26" s="4">
        <f>'Quotité d''intéret + revenus det'!AX23</f>
        <v>378808.9</v>
      </c>
      <c r="AY26" s="4">
        <f>'Quotité d''intéret + revenus det'!AY23</f>
        <v>902646.45</v>
      </c>
      <c r="AZ26" s="4">
        <f>'Quotité d''intéret + revenus det'!AZ23</f>
        <v>4857539.6000000006</v>
      </c>
      <c r="BA26" s="4">
        <f>'Quotité d''intéret + revenus det'!BA23</f>
        <v>984706.9</v>
      </c>
      <c r="BB26" s="4">
        <f>'Quotité d''intéret + revenus det'!BB23</f>
        <v>3613483.71</v>
      </c>
      <c r="BC26" s="4">
        <f>'Quotité d''intéret + revenus det'!BC23</f>
        <v>341683.35</v>
      </c>
      <c r="BD26" s="4">
        <f>'Quotité d''intéret + revenus det'!BD23</f>
        <v>24686130.600000001</v>
      </c>
      <c r="BE26" s="4">
        <f>'Quotité d''intéret + revenus det'!BE23</f>
        <v>1058276.3500000001</v>
      </c>
      <c r="BF26" s="4">
        <f t="shared" si="0"/>
        <v>100516758.10000001</v>
      </c>
      <c r="BG26" s="4">
        <f t="shared" si="1"/>
        <v>34381291.899999999</v>
      </c>
      <c r="BH26" s="4">
        <f t="shared" si="2"/>
        <v>76153398.310000002</v>
      </c>
    </row>
    <row r="27" spans="1:60" ht="15.75" thickBot="1" x14ac:dyDescent="0.3">
      <c r="A27" s="7"/>
      <c r="D27" s="4"/>
      <c r="BF27" s="4"/>
      <c r="BG27" s="4"/>
      <c r="BH27" s="4"/>
    </row>
    <row r="28" spans="1:60" ht="15.75" thickBot="1" x14ac:dyDescent="0.3">
      <c r="A28" s="7" t="s">
        <v>559</v>
      </c>
      <c r="D28" s="120">
        <f>IF(D26&lt;&gt;0,D24/D26,"")*100</f>
        <v>10.654101135080721</v>
      </c>
      <c r="E28" s="145">
        <f>IF(E26&lt;&gt;0,E24/E26,"")*100</f>
        <v>25.10164220756695</v>
      </c>
      <c r="F28" s="129">
        <f t="shared" ref="F28:BH28" si="6">IF(F26&lt;&gt;0,F24/F26,"")*100</f>
        <v>28.998061425529741</v>
      </c>
      <c r="G28" s="129">
        <f t="shared" si="6"/>
        <v>-5.3676389921461896</v>
      </c>
      <c r="H28" s="129">
        <f t="shared" si="6"/>
        <v>18.365644224606971</v>
      </c>
      <c r="I28" s="129">
        <f t="shared" si="6"/>
        <v>2.1890493442710442E-3</v>
      </c>
      <c r="J28" s="129">
        <f t="shared" si="6"/>
        <v>19.993360087419742</v>
      </c>
      <c r="K28" s="129">
        <f t="shared" si="6"/>
        <v>6.8834249326838224</v>
      </c>
      <c r="L28" s="129">
        <f t="shared" si="6"/>
        <v>4.0598128846991139</v>
      </c>
      <c r="M28" s="129">
        <f t="shared" si="6"/>
        <v>1.3324573514410587</v>
      </c>
      <c r="N28" s="129" t="e">
        <f t="shared" si="6"/>
        <v>#VALUE!</v>
      </c>
      <c r="O28" s="129">
        <f t="shared" si="6"/>
        <v>-2.4880831589213752</v>
      </c>
      <c r="P28" s="129">
        <f t="shared" si="6"/>
        <v>5.3929429663759745</v>
      </c>
      <c r="Q28" s="129">
        <f t="shared" si="6"/>
        <v>-39.123522493587991</v>
      </c>
      <c r="R28" s="129">
        <f t="shared" si="6"/>
        <v>6.5176456542176506</v>
      </c>
      <c r="S28" s="129">
        <f t="shared" si="6"/>
        <v>7.536027175752305</v>
      </c>
      <c r="T28" s="129">
        <f t="shared" si="6"/>
        <v>9.0991224808362379</v>
      </c>
      <c r="U28" s="129">
        <f t="shared" si="6"/>
        <v>5.2396803077971157</v>
      </c>
      <c r="V28" s="129">
        <f t="shared" si="6"/>
        <v>-0.30677577627973046</v>
      </c>
      <c r="W28" s="129">
        <f t="shared" si="6"/>
        <v>14.944614433636403</v>
      </c>
      <c r="X28" s="129">
        <f t="shared" si="6"/>
        <v>17.801725001207572</v>
      </c>
      <c r="Y28" s="129">
        <f t="shared" si="6"/>
        <v>8.2046222036020424</v>
      </c>
      <c r="Z28" s="129">
        <f t="shared" si="6"/>
        <v>37.964751398159464</v>
      </c>
      <c r="AA28" s="129">
        <f t="shared" si="6"/>
        <v>87.853343017549363</v>
      </c>
      <c r="AB28" s="129">
        <f t="shared" si="6"/>
        <v>-3.2138394841219928</v>
      </c>
      <c r="AC28" s="129">
        <f t="shared" si="6"/>
        <v>-32.487674015264901</v>
      </c>
      <c r="AD28" s="129">
        <f t="shared" si="6"/>
        <v>-17.083624234111038</v>
      </c>
      <c r="AE28" s="129">
        <f t="shared" si="6"/>
        <v>-4.0172033797898301</v>
      </c>
      <c r="AF28" s="129">
        <f t="shared" si="6"/>
        <v>36.767171247791509</v>
      </c>
      <c r="AG28" s="129">
        <f t="shared" si="6"/>
        <v>19.189210648507622</v>
      </c>
      <c r="AH28" s="129">
        <f t="shared" si="6"/>
        <v>15.0373076675549</v>
      </c>
      <c r="AI28" s="129">
        <f t="shared" si="6"/>
        <v>38.333665601395126</v>
      </c>
      <c r="AJ28" s="129">
        <f t="shared" si="6"/>
        <v>-11.456818161667643</v>
      </c>
      <c r="AK28" s="129">
        <f t="shared" si="6"/>
        <v>1.4420799953506909</v>
      </c>
      <c r="AL28" s="129">
        <f t="shared" si="6"/>
        <v>14.147983502317283</v>
      </c>
      <c r="AM28" s="129">
        <f t="shared" si="6"/>
        <v>2.5261587453015304</v>
      </c>
      <c r="AN28" s="129">
        <f t="shared" si="6"/>
        <v>10.146082527862486</v>
      </c>
      <c r="AO28" s="129">
        <f t="shared" si="6"/>
        <v>9.5896444839914476</v>
      </c>
      <c r="AP28" s="129">
        <f t="shared" si="6"/>
        <v>28.574623376074264</v>
      </c>
      <c r="AQ28" s="129">
        <f t="shared" si="6"/>
        <v>15.421670697216872</v>
      </c>
      <c r="AR28" s="129">
        <f t="shared" si="6"/>
        <v>22.706995009798504</v>
      </c>
      <c r="AS28" s="129">
        <f t="shared" si="6"/>
        <v>10.879525846503935</v>
      </c>
      <c r="AT28" s="129">
        <f t="shared" si="6"/>
        <v>2.156118601353481</v>
      </c>
      <c r="AU28" s="129">
        <f t="shared" si="6"/>
        <v>60.179112719543213</v>
      </c>
      <c r="AV28" s="129">
        <f t="shared" si="6"/>
        <v>-14.851375279152748</v>
      </c>
      <c r="AW28" s="129">
        <f t="shared" si="6"/>
        <v>1.8642715363077136</v>
      </c>
      <c r="AX28" s="129">
        <f t="shared" si="6"/>
        <v>0.37329112383579194</v>
      </c>
      <c r="AY28" s="129">
        <f t="shared" si="6"/>
        <v>24.9968135364627</v>
      </c>
      <c r="AZ28" s="129">
        <f t="shared" si="6"/>
        <v>13.805810867707594</v>
      </c>
      <c r="BA28" s="129">
        <f t="shared" si="6"/>
        <v>25.71053376390477</v>
      </c>
      <c r="BB28" s="129">
        <f t="shared" si="6"/>
        <v>21.295298713274121</v>
      </c>
      <c r="BC28" s="129">
        <f t="shared" si="6"/>
        <v>2.9847576711010357</v>
      </c>
      <c r="BD28" s="129">
        <f t="shared" si="6"/>
        <v>16.549327459200917</v>
      </c>
      <c r="BE28" s="129">
        <f t="shared" si="6"/>
        <v>11.157854940252609</v>
      </c>
      <c r="BF28" s="129">
        <f t="shared" si="6"/>
        <v>6.0242219650337097</v>
      </c>
      <c r="BG28" s="129">
        <f t="shared" si="6"/>
        <v>19.450903530474957</v>
      </c>
      <c r="BH28" s="129">
        <f t="shared" si="6"/>
        <v>12.79366440134377</v>
      </c>
    </row>
    <row r="29" spans="1:60" x14ac:dyDescent="0.25">
      <c r="A29" s="123" t="s">
        <v>560</v>
      </c>
      <c r="D29" s="126"/>
      <c r="BF29" s="4"/>
      <c r="BG29" s="4"/>
      <c r="BH29" s="4"/>
    </row>
    <row r="30" spans="1:60" x14ac:dyDescent="0.25">
      <c r="D30" s="4"/>
      <c r="BF30" s="4"/>
      <c r="BG30" s="4"/>
      <c r="BH30" s="4"/>
    </row>
    <row r="31" spans="1:60" x14ac:dyDescent="0.25">
      <c r="A31" s="7" t="s">
        <v>561</v>
      </c>
      <c r="C31" s="65" t="s">
        <v>507</v>
      </c>
      <c r="D31" s="128" t="s">
        <v>508</v>
      </c>
      <c r="BF31" s="4"/>
      <c r="BG31" s="4"/>
      <c r="BH31" s="4"/>
    </row>
    <row r="32" spans="1:60" x14ac:dyDescent="0.25">
      <c r="D32" s="4"/>
      <c r="BF32" s="4"/>
      <c r="BG32" s="4"/>
      <c r="BH32" s="4"/>
    </row>
    <row r="33" spans="1:60" x14ac:dyDescent="0.25">
      <c r="A33" s="111" t="s">
        <v>101</v>
      </c>
      <c r="B33" s="112" t="s">
        <v>231</v>
      </c>
      <c r="C33" s="111">
        <v>34</v>
      </c>
      <c r="D33" s="113">
        <f>'Base de données indicateurs1'!BF21</f>
        <v>7270594.0700000003</v>
      </c>
      <c r="E33" s="4">
        <f>'Base de données indicateurs1'!E21</f>
        <v>25957.09</v>
      </c>
      <c r="F33" s="4">
        <f>'Base de données indicateurs1'!F21</f>
        <v>53622.65</v>
      </c>
      <c r="G33" s="4">
        <f>'Base de données indicateurs1'!G21</f>
        <v>109242.38</v>
      </c>
      <c r="H33" s="4">
        <f>'Base de données indicateurs1'!H21</f>
        <v>79602.070000000007</v>
      </c>
      <c r="I33" s="4">
        <f>'Base de données indicateurs1'!I21</f>
        <v>167746</v>
      </c>
      <c r="J33" s="4">
        <f>'Base de données indicateurs1'!J21</f>
        <v>353755.02</v>
      </c>
      <c r="K33" s="4">
        <f>'Base de données indicateurs1'!K21</f>
        <v>190806.37</v>
      </c>
      <c r="L33" s="4">
        <f>'Base de données indicateurs1'!L21</f>
        <v>1293539.25</v>
      </c>
      <c r="M33" s="4">
        <f>'Base de données indicateurs1'!M21</f>
        <v>62498.61</v>
      </c>
      <c r="N33" s="4">
        <f>'Base de données indicateurs1'!N21</f>
        <v>0</v>
      </c>
      <c r="O33" s="4">
        <f>'Base de données indicateurs1'!O21</f>
        <v>409269.4</v>
      </c>
      <c r="P33" s="4">
        <f>'Base de données indicateurs1'!P21</f>
        <v>49806.81</v>
      </c>
      <c r="Q33" s="4">
        <f>'Base de données indicateurs1'!Q21</f>
        <v>9325.5300000000007</v>
      </c>
      <c r="R33" s="4">
        <f>'Base de données indicateurs1'!R21</f>
        <v>38513.269999999997</v>
      </c>
      <c r="S33" s="4">
        <f>'Base de données indicateurs1'!S21</f>
        <v>62506.13</v>
      </c>
      <c r="T33" s="4">
        <f>'Base de données indicateurs1'!T21</f>
        <v>106712.1</v>
      </c>
      <c r="U33" s="4">
        <f>'Base de données indicateurs1'!U21</f>
        <v>10641</v>
      </c>
      <c r="V33" s="4">
        <f>'Base de données indicateurs1'!V21</f>
        <v>64002.95</v>
      </c>
      <c r="W33" s="4">
        <f>'Base de données indicateurs1'!W21</f>
        <v>206751.8</v>
      </c>
      <c r="X33" s="4">
        <f>'Base de données indicateurs1'!X21</f>
        <v>17824</v>
      </c>
      <c r="Y33" s="4">
        <f>'Base de données indicateurs1'!Y21</f>
        <v>161629.54999999999</v>
      </c>
      <c r="Z33" s="4">
        <f>'Base de données indicateurs1'!Z21</f>
        <v>49245.58</v>
      </c>
      <c r="AA33" s="4">
        <f>'Base de données indicateurs1'!AA21</f>
        <v>4961</v>
      </c>
      <c r="AB33" s="4">
        <f>'Base de données indicateurs1'!AB21</f>
        <v>14428.89</v>
      </c>
      <c r="AC33" s="4">
        <f>'Base de données indicateurs1'!AC21</f>
        <v>36916.46</v>
      </c>
      <c r="AD33" s="4">
        <f>'Base de données indicateurs1'!AD21</f>
        <v>126012.01</v>
      </c>
      <c r="AE33" s="4">
        <f>'Base de données indicateurs1'!AE21</f>
        <v>38360.71</v>
      </c>
      <c r="AF33" s="4">
        <f>'Base de données indicateurs1'!AF21</f>
        <v>53662.75</v>
      </c>
      <c r="AG33" s="4">
        <f>'Base de données indicateurs1'!AG21</f>
        <v>135089.70000000001</v>
      </c>
      <c r="AH33" s="4">
        <f>'Base de données indicateurs1'!AH21</f>
        <v>309966</v>
      </c>
      <c r="AI33" s="4">
        <f>'Base de données indicateurs1'!AI21</f>
        <v>20703</v>
      </c>
      <c r="AJ33" s="4">
        <f>'Base de données indicateurs1'!AJ21</f>
        <v>42883.78</v>
      </c>
      <c r="AK33" s="4">
        <f>'Base de données indicateurs1'!AK21</f>
        <v>202458.52</v>
      </c>
      <c r="AL33" s="4">
        <f>'Base de données indicateurs1'!AL21</f>
        <v>35284</v>
      </c>
      <c r="AM33" s="4">
        <f>'Base de données indicateurs1'!AM21</f>
        <v>163768.79999999999</v>
      </c>
      <c r="AN33" s="4">
        <f>'Base de données indicateurs1'!AN21</f>
        <v>28646.12</v>
      </c>
      <c r="AO33" s="4">
        <f>'Base de données indicateurs1'!AO21</f>
        <v>251870.98</v>
      </c>
      <c r="AP33" s="4">
        <f>'Base de données indicateurs1'!AP21</f>
        <v>59393.55</v>
      </c>
      <c r="AQ33" s="4">
        <f>'Base de données indicateurs1'!AQ21</f>
        <v>47702</v>
      </c>
      <c r="AR33" s="4">
        <f>'Base de données indicateurs1'!AR21</f>
        <v>253950.22</v>
      </c>
      <c r="AS33" s="4">
        <f>'Base de données indicateurs1'!AS21</f>
        <v>105100.13</v>
      </c>
      <c r="AT33" s="4">
        <f>'Base de données indicateurs1'!AT21</f>
        <v>150456.45000000001</v>
      </c>
      <c r="AU33" s="4">
        <f>'Base de données indicateurs1'!AU21</f>
        <v>23204.25</v>
      </c>
      <c r="AV33" s="4">
        <f>'Base de données indicateurs1'!AV21</f>
        <v>205298.78</v>
      </c>
      <c r="AW33" s="4">
        <f>'Base de données indicateurs1'!AW21</f>
        <v>48284.98</v>
      </c>
      <c r="AX33" s="4">
        <f>'Base de données indicateurs1'!AX21</f>
        <v>12648.8</v>
      </c>
      <c r="AY33" s="4">
        <f>'Base de données indicateurs1'!AY21</f>
        <v>16514.060000000001</v>
      </c>
      <c r="AZ33" s="4">
        <f>'Base de données indicateurs1'!AZ21</f>
        <v>249349.03</v>
      </c>
      <c r="BA33" s="4">
        <f>'Base de données indicateurs1'!BA21</f>
        <v>12565.11</v>
      </c>
      <c r="BB33" s="4">
        <f>'Base de données indicateurs1'!BB21</f>
        <v>114102.89</v>
      </c>
      <c r="BC33" s="4">
        <f>'Base de données indicateurs1'!BC21</f>
        <v>450.2</v>
      </c>
      <c r="BD33" s="4">
        <f>'Base de données indicateurs1'!BD21</f>
        <v>962411.89</v>
      </c>
      <c r="BE33" s="4">
        <f>'Base de données indicateurs1'!BE21</f>
        <v>21151.45</v>
      </c>
      <c r="BF33" s="4">
        <f t="shared" si="0"/>
        <v>3294298.4299999997</v>
      </c>
      <c r="BG33" s="4">
        <f t="shared" si="1"/>
        <v>1011683.4300000002</v>
      </c>
      <c r="BH33" s="4">
        <f t="shared" si="2"/>
        <v>2964612.21</v>
      </c>
    </row>
    <row r="34" spans="1:60" x14ac:dyDescent="0.25">
      <c r="A34" s="114" t="s">
        <v>288</v>
      </c>
      <c r="B34" s="115" t="s">
        <v>232</v>
      </c>
      <c r="C34" s="114">
        <v>440</v>
      </c>
      <c r="D34" s="116">
        <f>'Base de données indicateurs1'!BF41</f>
        <v>2762183.310000001</v>
      </c>
      <c r="E34" s="4">
        <f>'Base de données indicateurs1'!E41</f>
        <v>23418.3</v>
      </c>
      <c r="F34" s="4">
        <f>'Base de données indicateurs1'!F41</f>
        <v>14462.33</v>
      </c>
      <c r="G34" s="4">
        <f>'Base de données indicateurs1'!G41</f>
        <v>8419.7000000000007</v>
      </c>
      <c r="H34" s="4">
        <f>'Base de données indicateurs1'!H41</f>
        <v>8186.86</v>
      </c>
      <c r="I34" s="4">
        <f>'Base de données indicateurs1'!I41</f>
        <v>153171</v>
      </c>
      <c r="J34" s="4">
        <f>'Base de données indicateurs1'!J41</f>
        <v>129767.64</v>
      </c>
      <c r="K34" s="4">
        <f>'Base de données indicateurs1'!K41</f>
        <v>41256.25</v>
      </c>
      <c r="L34" s="4">
        <f>'Base de données indicateurs1'!L41</f>
        <v>889346.59</v>
      </c>
      <c r="M34" s="4">
        <f>'Base de données indicateurs1'!M41</f>
        <v>40171.1</v>
      </c>
      <c r="N34" s="4">
        <f>'Base de données indicateurs1'!N41</f>
        <v>0</v>
      </c>
      <c r="O34" s="4">
        <f>'Base de données indicateurs1'!O41</f>
        <v>135941.74</v>
      </c>
      <c r="P34" s="4">
        <f>'Base de données indicateurs1'!P41</f>
        <v>9076.1</v>
      </c>
      <c r="Q34" s="4">
        <f>'Base de données indicateurs1'!Q41</f>
        <v>4220.45</v>
      </c>
      <c r="R34" s="4">
        <f>'Base de données indicateurs1'!R41</f>
        <v>158.27000000000001</v>
      </c>
      <c r="S34" s="4">
        <f>'Base de données indicateurs1'!S41</f>
        <v>6042.65</v>
      </c>
      <c r="T34" s="4">
        <f>'Base de données indicateurs1'!T41</f>
        <v>18851.05</v>
      </c>
      <c r="U34" s="4">
        <f>'Base de données indicateurs1'!U41</f>
        <v>6215.75</v>
      </c>
      <c r="V34" s="4">
        <f>'Base de données indicateurs1'!V41</f>
        <v>10386.93</v>
      </c>
      <c r="W34" s="4">
        <f>'Base de données indicateurs1'!W41</f>
        <v>79792.3</v>
      </c>
      <c r="X34" s="4">
        <f>'Base de données indicateurs1'!X41</f>
        <v>3271</v>
      </c>
      <c r="Y34" s="4">
        <f>'Base de données indicateurs1'!Y41</f>
        <v>41377.25</v>
      </c>
      <c r="Z34" s="4">
        <f>'Base de données indicateurs1'!Z41</f>
        <v>36248.74</v>
      </c>
      <c r="AA34" s="4">
        <f>'Base de données indicateurs1'!AA41</f>
        <v>562</v>
      </c>
      <c r="AB34" s="4">
        <f>'Base de données indicateurs1'!AB41</f>
        <v>2678</v>
      </c>
      <c r="AC34" s="4">
        <f>'Base de données indicateurs1'!AC41</f>
        <v>8518.5499999999993</v>
      </c>
      <c r="AD34" s="4">
        <f>'Base de données indicateurs1'!AD41</f>
        <v>115681.05</v>
      </c>
      <c r="AE34" s="4">
        <f>'Base de données indicateurs1'!AE41</f>
        <v>10361.08</v>
      </c>
      <c r="AF34" s="4">
        <f>'Base de données indicateurs1'!AF41</f>
        <v>296.7</v>
      </c>
      <c r="AG34" s="4">
        <f>'Base de données indicateurs1'!AG41</f>
        <v>29889.65</v>
      </c>
      <c r="AH34" s="4">
        <f>'Base de données indicateurs1'!AH41</f>
        <v>41227.97</v>
      </c>
      <c r="AI34" s="4">
        <f>'Base de données indicateurs1'!AI41</f>
        <v>12342.43</v>
      </c>
      <c r="AJ34" s="4">
        <f>'Base de données indicateurs1'!AJ41</f>
        <v>4175.1000000000004</v>
      </c>
      <c r="AK34" s="4">
        <f>'Base de données indicateurs1'!AK41</f>
        <v>105842.76</v>
      </c>
      <c r="AL34" s="4">
        <f>'Base de données indicateurs1'!AL41</f>
        <v>26934</v>
      </c>
      <c r="AM34" s="4">
        <f>'Base de données indicateurs1'!AM41</f>
        <v>42752.800000000003</v>
      </c>
      <c r="AN34" s="4">
        <f>'Base de données indicateurs1'!AN41</f>
        <v>6870.04</v>
      </c>
      <c r="AO34" s="4">
        <f>'Base de données indicateurs1'!AO41</f>
        <v>28354.12</v>
      </c>
      <c r="AP34" s="4">
        <f>'Base de données indicateurs1'!AP41</f>
        <v>25847.45</v>
      </c>
      <c r="AQ34" s="4">
        <f>'Base de données indicateurs1'!AQ41</f>
        <v>16980.400000000001</v>
      </c>
      <c r="AR34" s="4">
        <f>'Base de données indicateurs1'!AR41</f>
        <v>31166.18</v>
      </c>
      <c r="AS34" s="4">
        <f>'Base de données indicateurs1'!AS41</f>
        <v>43080.91</v>
      </c>
      <c r="AT34" s="4">
        <f>'Base de données indicateurs1'!AT41</f>
        <v>66001.039999999994</v>
      </c>
      <c r="AU34" s="4">
        <f>'Base de données indicateurs1'!AU41</f>
        <v>4916.3500000000004</v>
      </c>
      <c r="AV34" s="4">
        <f>'Base de données indicateurs1'!AV41</f>
        <v>51808.72</v>
      </c>
      <c r="AW34" s="4">
        <f>'Base de données indicateurs1'!AW41</f>
        <v>15471.29</v>
      </c>
      <c r="AX34" s="4">
        <f>'Base de données indicateurs1'!AX41</f>
        <v>3549.64</v>
      </c>
      <c r="AY34" s="4">
        <f>'Base de données indicateurs1'!AY41</f>
        <v>8404.1</v>
      </c>
      <c r="AZ34" s="4">
        <f>'Base de données indicateurs1'!AZ41</f>
        <v>52198.84</v>
      </c>
      <c r="BA34" s="4">
        <f>'Base de données indicateurs1'!BA41</f>
        <v>12193.98</v>
      </c>
      <c r="BB34" s="4">
        <f>'Base de données indicateurs1'!BB41</f>
        <v>38820</v>
      </c>
      <c r="BC34" s="4">
        <f>'Base de données indicateurs1'!BC41</f>
        <v>3699.85</v>
      </c>
      <c r="BD34" s="4">
        <f>'Base de données indicateurs1'!BD41</f>
        <v>268547.32</v>
      </c>
      <c r="BE34" s="4">
        <f>'Base de données indicateurs1'!BE41</f>
        <v>23228.99</v>
      </c>
      <c r="BF34" s="4">
        <f t="shared" si="0"/>
        <v>1578885.01</v>
      </c>
      <c r="BG34" s="4">
        <f t="shared" si="1"/>
        <v>306629.51999999996</v>
      </c>
      <c r="BH34" s="4">
        <f t="shared" si="2"/>
        <v>876668.78</v>
      </c>
    </row>
    <row r="35" spans="1:60" x14ac:dyDescent="0.25">
      <c r="A35" s="114" t="s">
        <v>562</v>
      </c>
      <c r="B35" s="115" t="s">
        <v>232</v>
      </c>
      <c r="C35" s="114">
        <v>441</v>
      </c>
      <c r="D35" s="116">
        <f>'Base de données indicateurs1'!BF42</f>
        <v>443582.25</v>
      </c>
      <c r="E35" s="4">
        <f>'Base de données indicateurs1'!E42</f>
        <v>0</v>
      </c>
      <c r="F35" s="4">
        <f>'Base de données indicateurs1'!F42</f>
        <v>0</v>
      </c>
      <c r="G35" s="4">
        <f>'Base de données indicateurs1'!G42</f>
        <v>0</v>
      </c>
      <c r="H35" s="4">
        <f>'Base de données indicateurs1'!H42</f>
        <v>0</v>
      </c>
      <c r="I35" s="4">
        <f>'Base de données indicateurs1'!I42</f>
        <v>0</v>
      </c>
      <c r="J35" s="4">
        <f>'Base de données indicateurs1'!J42</f>
        <v>0</v>
      </c>
      <c r="K35" s="4">
        <f>'Base de données indicateurs1'!K42</f>
        <v>0</v>
      </c>
      <c r="L35" s="4">
        <f>'Base de données indicateurs1'!L42</f>
        <v>0</v>
      </c>
      <c r="M35" s="4">
        <f>'Base de données indicateurs1'!M42</f>
        <v>0</v>
      </c>
      <c r="N35" s="4">
        <f>'Base de données indicateurs1'!N42</f>
        <v>0</v>
      </c>
      <c r="O35" s="4">
        <f>'Base de données indicateurs1'!O42</f>
        <v>5580</v>
      </c>
      <c r="P35" s="4">
        <f>'Base de données indicateurs1'!P42</f>
        <v>0</v>
      </c>
      <c r="Q35" s="4">
        <f>'Base de données indicateurs1'!Q42</f>
        <v>0</v>
      </c>
      <c r="R35" s="4">
        <f>'Base de données indicateurs1'!R42</f>
        <v>0</v>
      </c>
      <c r="S35" s="4">
        <f>'Base de données indicateurs1'!S42</f>
        <v>0</v>
      </c>
      <c r="T35" s="4">
        <f>'Base de données indicateurs1'!T42</f>
        <v>0</v>
      </c>
      <c r="U35" s="4">
        <f>'Base de données indicateurs1'!U42</f>
        <v>0</v>
      </c>
      <c r="V35" s="4">
        <f>'Base de données indicateurs1'!V42</f>
        <v>0</v>
      </c>
      <c r="W35" s="4">
        <f>'Base de données indicateurs1'!W42</f>
        <v>86244.2</v>
      </c>
      <c r="X35" s="4">
        <f>'Base de données indicateurs1'!X42</f>
        <v>0</v>
      </c>
      <c r="Y35" s="4">
        <f>'Base de données indicateurs1'!Y42</f>
        <v>0</v>
      </c>
      <c r="Z35" s="4">
        <f>'Base de données indicateurs1'!Z42</f>
        <v>0</v>
      </c>
      <c r="AA35" s="4">
        <f>'Base de données indicateurs1'!AA42</f>
        <v>0</v>
      </c>
      <c r="AB35" s="4">
        <f>'Base de données indicateurs1'!AB42</f>
        <v>740</v>
      </c>
      <c r="AC35" s="4">
        <f>'Base de données indicateurs1'!AC42</f>
        <v>0</v>
      </c>
      <c r="AD35" s="4">
        <f>'Base de données indicateurs1'!AD42</f>
        <v>0</v>
      </c>
      <c r="AE35" s="4">
        <f>'Base de données indicateurs1'!AE42</f>
        <v>46655</v>
      </c>
      <c r="AF35" s="4">
        <f>'Base de données indicateurs1'!AF42</f>
        <v>0</v>
      </c>
      <c r="AG35" s="4">
        <f>'Base de données indicateurs1'!AG42</f>
        <v>3210</v>
      </c>
      <c r="AH35" s="4">
        <f>'Base de données indicateurs1'!AH42</f>
        <v>152600.54999999999</v>
      </c>
      <c r="AI35" s="4">
        <f>'Base de données indicateurs1'!AI42</f>
        <v>0</v>
      </c>
      <c r="AJ35" s="4">
        <f>'Base de données indicateurs1'!AJ42</f>
        <v>0</v>
      </c>
      <c r="AK35" s="4">
        <f>'Base de données indicateurs1'!AK42</f>
        <v>0</v>
      </c>
      <c r="AL35" s="4">
        <f>'Base de données indicateurs1'!AL42</f>
        <v>0</v>
      </c>
      <c r="AM35" s="4">
        <f>'Base de données indicateurs1'!AM42</f>
        <v>1400</v>
      </c>
      <c r="AN35" s="4">
        <f>'Base de données indicateurs1'!AN42</f>
        <v>0</v>
      </c>
      <c r="AO35" s="4">
        <f>'Base de données indicateurs1'!AO42</f>
        <v>75390</v>
      </c>
      <c r="AP35" s="4">
        <f>'Base de données indicateurs1'!AP42</f>
        <v>0</v>
      </c>
      <c r="AQ35" s="4">
        <f>'Base de données indicateurs1'!AQ42</f>
        <v>0</v>
      </c>
      <c r="AR35" s="4">
        <f>'Base de données indicateurs1'!AR42</f>
        <v>43060</v>
      </c>
      <c r="AS35" s="4">
        <f>'Base de données indicateurs1'!AS42</f>
        <v>0</v>
      </c>
      <c r="AT35" s="4">
        <f>'Base de données indicateurs1'!AT42</f>
        <v>0</v>
      </c>
      <c r="AU35" s="4">
        <f>'Base de données indicateurs1'!AU42</f>
        <v>0</v>
      </c>
      <c r="AV35" s="4">
        <f>'Base de données indicateurs1'!AV42</f>
        <v>0</v>
      </c>
      <c r="AW35" s="4">
        <f>'Base de données indicateurs1'!AW42</f>
        <v>0</v>
      </c>
      <c r="AX35" s="4">
        <f>'Base de données indicateurs1'!AX42</f>
        <v>0</v>
      </c>
      <c r="AY35" s="4">
        <f>'Base de données indicateurs1'!AY42</f>
        <v>4030</v>
      </c>
      <c r="AZ35" s="4">
        <f>'Base de données indicateurs1'!AZ42</f>
        <v>0</v>
      </c>
      <c r="BA35" s="4">
        <f>'Base de données indicateurs1'!BA42</f>
        <v>0</v>
      </c>
      <c r="BB35" s="4">
        <f>'Base de données indicateurs1'!BB42</f>
        <v>24672.5</v>
      </c>
      <c r="BC35" s="4">
        <f>'Base de données indicateurs1'!BC42</f>
        <v>0</v>
      </c>
      <c r="BD35" s="4">
        <f>'Base de données indicateurs1'!BD42</f>
        <v>0</v>
      </c>
      <c r="BE35" s="4">
        <f>'Base de données indicateurs1'!BE42</f>
        <v>0</v>
      </c>
      <c r="BF35" s="4">
        <f t="shared" si="0"/>
        <v>91824.2</v>
      </c>
      <c r="BG35" s="4">
        <f t="shared" si="1"/>
        <v>203205.55</v>
      </c>
      <c r="BH35" s="4">
        <f t="shared" si="2"/>
        <v>148552.5</v>
      </c>
    </row>
    <row r="36" spans="1:60" x14ac:dyDescent="0.25">
      <c r="A36" s="114" t="s">
        <v>563</v>
      </c>
      <c r="B36" s="115" t="s">
        <v>232</v>
      </c>
      <c r="C36" s="114">
        <v>442</v>
      </c>
      <c r="D36" s="116">
        <f>'Base de données indicateurs1'!BF43</f>
        <v>121754.92</v>
      </c>
      <c r="E36" s="4">
        <f>'Base de données indicateurs1'!E43</f>
        <v>60.1</v>
      </c>
      <c r="F36" s="4">
        <f>'Base de données indicateurs1'!F43</f>
        <v>0</v>
      </c>
      <c r="G36" s="4">
        <f>'Base de données indicateurs1'!G43</f>
        <v>0</v>
      </c>
      <c r="H36" s="4">
        <f>'Base de données indicateurs1'!H43</f>
        <v>0</v>
      </c>
      <c r="I36" s="4">
        <f>'Base de données indicateurs1'!I43</f>
        <v>6026</v>
      </c>
      <c r="J36" s="4">
        <f>'Base de données indicateurs1'!J43</f>
        <v>37</v>
      </c>
      <c r="K36" s="4">
        <f>'Base de données indicateurs1'!K43</f>
        <v>0</v>
      </c>
      <c r="L36" s="4">
        <f>'Base de données indicateurs1'!L43</f>
        <v>56657.5</v>
      </c>
      <c r="M36" s="4">
        <f>'Base de données indicateurs1'!M43</f>
        <v>0</v>
      </c>
      <c r="N36" s="4">
        <f>'Base de données indicateurs1'!N43</f>
        <v>0</v>
      </c>
      <c r="O36" s="4">
        <f>'Base de données indicateurs1'!O43</f>
        <v>3677.5</v>
      </c>
      <c r="P36" s="4">
        <f>'Base de données indicateurs1'!P43</f>
        <v>0</v>
      </c>
      <c r="Q36" s="4">
        <f>'Base de données indicateurs1'!Q43</f>
        <v>34.67</v>
      </c>
      <c r="R36" s="4">
        <f>'Base de données indicateurs1'!R43</f>
        <v>0</v>
      </c>
      <c r="S36" s="4">
        <f>'Base de données indicateurs1'!S43</f>
        <v>0</v>
      </c>
      <c r="T36" s="4">
        <f>'Base de données indicateurs1'!T43</f>
        <v>325</v>
      </c>
      <c r="U36" s="4">
        <f>'Base de données indicateurs1'!U43</f>
        <v>0</v>
      </c>
      <c r="V36" s="4">
        <f>'Base de données indicateurs1'!V43</f>
        <v>0</v>
      </c>
      <c r="W36" s="4">
        <f>'Base de données indicateurs1'!W43</f>
        <v>219.42</v>
      </c>
      <c r="X36" s="4">
        <f>'Base de données indicateurs1'!X43</f>
        <v>5</v>
      </c>
      <c r="Y36" s="4">
        <f>'Base de données indicateurs1'!Y43</f>
        <v>0</v>
      </c>
      <c r="Z36" s="4">
        <f>'Base de données indicateurs1'!Z43</f>
        <v>0</v>
      </c>
      <c r="AA36" s="4">
        <f>'Base de données indicateurs1'!AA43</f>
        <v>0</v>
      </c>
      <c r="AB36" s="4">
        <f>'Base de données indicateurs1'!AB43</f>
        <v>0</v>
      </c>
      <c r="AC36" s="4">
        <f>'Base de données indicateurs1'!AC43</f>
        <v>880</v>
      </c>
      <c r="AD36" s="4">
        <f>'Base de données indicateurs1'!AD43</f>
        <v>0</v>
      </c>
      <c r="AE36" s="4">
        <f>'Base de données indicateurs1'!AE43</f>
        <v>0</v>
      </c>
      <c r="AF36" s="4">
        <f>'Base de données indicateurs1'!AF43</f>
        <v>11004.9</v>
      </c>
      <c r="AG36" s="4">
        <f>'Base de données indicateurs1'!AG43</f>
        <v>7415</v>
      </c>
      <c r="AH36" s="4">
        <f>'Base de données indicateurs1'!AH43</f>
        <v>0</v>
      </c>
      <c r="AI36" s="4">
        <f>'Base de données indicateurs1'!AI43</f>
        <v>0</v>
      </c>
      <c r="AJ36" s="4">
        <f>'Base de données indicateurs1'!AJ43</f>
        <v>0</v>
      </c>
      <c r="AK36" s="4">
        <f>'Base de données indicateurs1'!AK43</f>
        <v>0</v>
      </c>
      <c r="AL36" s="4">
        <f>'Base de données indicateurs1'!AL43</f>
        <v>1618</v>
      </c>
      <c r="AM36" s="4">
        <f>'Base de données indicateurs1'!AM43</f>
        <v>0</v>
      </c>
      <c r="AN36" s="4">
        <f>'Base de données indicateurs1'!AN43</f>
        <v>0</v>
      </c>
      <c r="AO36" s="4">
        <f>'Base de données indicateurs1'!AO43</f>
        <v>0</v>
      </c>
      <c r="AP36" s="4">
        <f>'Base de données indicateurs1'!AP43</f>
        <v>20</v>
      </c>
      <c r="AQ36" s="4">
        <f>'Base de données indicateurs1'!AQ43</f>
        <v>0</v>
      </c>
      <c r="AR36" s="4">
        <f>'Base de données indicateurs1'!AR43</f>
        <v>6957</v>
      </c>
      <c r="AS36" s="4">
        <f>'Base de données indicateurs1'!AS43</f>
        <v>0</v>
      </c>
      <c r="AT36" s="4">
        <f>'Base de données indicateurs1'!AT43</f>
        <v>380</v>
      </c>
      <c r="AU36" s="4">
        <f>'Base de données indicateurs1'!AU43</f>
        <v>0</v>
      </c>
      <c r="AV36" s="4">
        <f>'Base de données indicateurs1'!AV43</f>
        <v>1657.5</v>
      </c>
      <c r="AW36" s="4">
        <f>'Base de données indicateurs1'!AW43</f>
        <v>1926.33</v>
      </c>
      <c r="AX36" s="4">
        <f>'Base de données indicateurs1'!AX43</f>
        <v>0</v>
      </c>
      <c r="AY36" s="4">
        <f>'Base de données indicateurs1'!AY43</f>
        <v>0</v>
      </c>
      <c r="AZ36" s="4">
        <f>'Base de données indicateurs1'!AZ43</f>
        <v>0</v>
      </c>
      <c r="BA36" s="4">
        <f>'Base de données indicateurs1'!BA43</f>
        <v>0</v>
      </c>
      <c r="BB36" s="4">
        <f>'Base de données indicateurs1'!BB43</f>
        <v>302.25</v>
      </c>
      <c r="BC36" s="4">
        <f>'Base de données indicateurs1'!BC43</f>
        <v>0</v>
      </c>
      <c r="BD36" s="4">
        <f>'Base de données indicateurs1'!BD43</f>
        <v>22531.75</v>
      </c>
      <c r="BE36" s="4">
        <f>'Base de données indicateurs1'!BE43</f>
        <v>20</v>
      </c>
      <c r="BF36" s="4">
        <f t="shared" si="0"/>
        <v>67037.19</v>
      </c>
      <c r="BG36" s="4">
        <f t="shared" si="1"/>
        <v>19304.900000000001</v>
      </c>
      <c r="BH36" s="4">
        <f t="shared" si="2"/>
        <v>35412.83</v>
      </c>
    </row>
    <row r="37" spans="1:60" x14ac:dyDescent="0.25">
      <c r="A37" s="114" t="s">
        <v>564</v>
      </c>
      <c r="B37" s="115" t="s">
        <v>232</v>
      </c>
      <c r="C37" s="114">
        <v>443</v>
      </c>
      <c r="D37" s="116">
        <f>'Base de données indicateurs1'!BF44</f>
        <v>3879459.8200000003</v>
      </c>
      <c r="E37" s="4">
        <f>'Base de données indicateurs1'!E44</f>
        <v>22991.5</v>
      </c>
      <c r="F37" s="4">
        <f>'Base de données indicateurs1'!F44</f>
        <v>19700</v>
      </c>
      <c r="G37" s="4">
        <f>'Base de données indicateurs1'!G44</f>
        <v>106274.55</v>
      </c>
      <c r="H37" s="4">
        <f>'Base de données indicateurs1'!H44</f>
        <v>75065</v>
      </c>
      <c r="I37" s="4">
        <f>'Base de données indicateurs1'!I44</f>
        <v>385439</v>
      </c>
      <c r="J37" s="4">
        <f>'Base de données indicateurs1'!J44</f>
        <v>130480</v>
      </c>
      <c r="K37" s="4">
        <f>'Base de données indicateurs1'!K44</f>
        <v>130147</v>
      </c>
      <c r="L37" s="4">
        <f>'Base de données indicateurs1'!L44</f>
        <v>515299.8</v>
      </c>
      <c r="M37" s="4">
        <f>'Base de données indicateurs1'!M44</f>
        <v>20756.900000000001</v>
      </c>
      <c r="N37" s="4">
        <f>'Base de données indicateurs1'!N44</f>
        <v>0</v>
      </c>
      <c r="O37" s="4">
        <f>'Base de données indicateurs1'!O44</f>
        <v>128634.95</v>
      </c>
      <c r="P37" s="4">
        <f>'Base de données indicateurs1'!P44</f>
        <v>27510</v>
      </c>
      <c r="Q37" s="4">
        <f>'Base de données indicateurs1'!Q44</f>
        <v>10140</v>
      </c>
      <c r="R37" s="4">
        <f>'Base de données indicateurs1'!R44</f>
        <v>28680</v>
      </c>
      <c r="S37" s="4">
        <f>'Base de données indicateurs1'!S44</f>
        <v>11400</v>
      </c>
      <c r="T37" s="4">
        <f>'Base de données indicateurs1'!T44</f>
        <v>55367</v>
      </c>
      <c r="U37" s="4">
        <f>'Base de données indicateurs1'!U44</f>
        <v>0</v>
      </c>
      <c r="V37" s="4">
        <f>'Base de données indicateurs1'!V44</f>
        <v>23605</v>
      </c>
      <c r="W37" s="4">
        <f>'Base de données indicateurs1'!W44</f>
        <v>126933.5</v>
      </c>
      <c r="X37" s="4">
        <f>'Base de données indicateurs1'!X44</f>
        <v>14330</v>
      </c>
      <c r="Y37" s="4">
        <f>'Base de données indicateurs1'!Y44</f>
        <v>42715</v>
      </c>
      <c r="Z37" s="4">
        <f>'Base de données indicateurs1'!Z44</f>
        <v>9605</v>
      </c>
      <c r="AA37" s="4">
        <f>'Base de données indicateurs1'!AA44</f>
        <v>13934</v>
      </c>
      <c r="AB37" s="4">
        <f>'Base de données indicateurs1'!AB44</f>
        <v>23780</v>
      </c>
      <c r="AC37" s="4">
        <f>'Base de données indicateurs1'!AC44</f>
        <v>12404.1</v>
      </c>
      <c r="AD37" s="4">
        <f>'Base de données indicateurs1'!AD44</f>
        <v>80000.5</v>
      </c>
      <c r="AE37" s="4">
        <f>'Base de données indicateurs1'!AE44</f>
        <v>2110</v>
      </c>
      <c r="AF37" s="4">
        <f>'Base de données indicateurs1'!AF44</f>
        <v>87195</v>
      </c>
      <c r="AG37" s="4">
        <f>'Base de données indicateurs1'!AG44</f>
        <v>93783.45</v>
      </c>
      <c r="AH37" s="4">
        <f>'Base de données indicateurs1'!AH44</f>
        <v>46144</v>
      </c>
      <c r="AI37" s="4">
        <f>'Base de données indicateurs1'!AI44</f>
        <v>0</v>
      </c>
      <c r="AJ37" s="4">
        <f>'Base de données indicateurs1'!AJ44</f>
        <v>41705</v>
      </c>
      <c r="AK37" s="4">
        <f>'Base de données indicateurs1'!AK44</f>
        <v>0</v>
      </c>
      <c r="AL37" s="4">
        <f>'Base de données indicateurs1'!AL44</f>
        <v>124060</v>
      </c>
      <c r="AM37" s="4">
        <f>'Base de données indicateurs1'!AM44</f>
        <v>75767</v>
      </c>
      <c r="AN37" s="4">
        <f>'Base de données indicateurs1'!AN44</f>
        <v>10735.7</v>
      </c>
      <c r="AO37" s="4">
        <f>'Base de données indicateurs1'!AO44</f>
        <v>204430.2</v>
      </c>
      <c r="AP37" s="4">
        <f>'Base de données indicateurs1'!AP44</f>
        <v>25952.2</v>
      </c>
      <c r="AQ37" s="4">
        <f>'Base de données indicateurs1'!AQ44</f>
        <v>4193.55</v>
      </c>
      <c r="AR37" s="4">
        <f>'Base de données indicateurs1'!AR44</f>
        <v>437887.87</v>
      </c>
      <c r="AS37" s="4">
        <f>'Base de données indicateurs1'!AS44</f>
        <v>10542.4</v>
      </c>
      <c r="AT37" s="4">
        <f>'Base de données indicateurs1'!AT44</f>
        <v>82790</v>
      </c>
      <c r="AU37" s="4">
        <f>'Base de données indicateurs1'!AU44</f>
        <v>25640</v>
      </c>
      <c r="AV37" s="4">
        <f>'Base de données indicateurs1'!AV44</f>
        <v>0</v>
      </c>
      <c r="AW37" s="4">
        <f>'Base de données indicateurs1'!AW44</f>
        <v>11017.35</v>
      </c>
      <c r="AX37" s="4">
        <f>'Base de données indicateurs1'!AX44</f>
        <v>13505.9</v>
      </c>
      <c r="AY37" s="4">
        <f>'Base de données indicateurs1'!AY44</f>
        <v>39303.699999999997</v>
      </c>
      <c r="AZ37" s="4">
        <f>'Base de données indicateurs1'!AZ44</f>
        <v>66998.3</v>
      </c>
      <c r="BA37" s="4">
        <f>'Base de données indicateurs1'!BA44</f>
        <v>32771</v>
      </c>
      <c r="BB37" s="4">
        <f>'Base de données indicateurs1'!BB44</f>
        <v>113307.5</v>
      </c>
      <c r="BC37" s="4">
        <f>'Base de données indicateurs1'!BC44</f>
        <v>3000</v>
      </c>
      <c r="BD37" s="4">
        <f>'Base de données indicateurs1'!BD44</f>
        <v>261552.3</v>
      </c>
      <c r="BE37" s="4">
        <f>'Base de données indicateurs1'!BE44</f>
        <v>49874.6</v>
      </c>
      <c r="BF37" s="4">
        <f t="shared" si="0"/>
        <v>1818424.2</v>
      </c>
      <c r="BG37" s="4">
        <f t="shared" si="1"/>
        <v>467706.05</v>
      </c>
      <c r="BH37" s="4">
        <f t="shared" si="2"/>
        <v>1593329.5700000003</v>
      </c>
    </row>
    <row r="38" spans="1:60" x14ac:dyDescent="0.25">
      <c r="A38" s="114" t="s">
        <v>565</v>
      </c>
      <c r="B38" s="115" t="s">
        <v>232</v>
      </c>
      <c r="C38" s="114">
        <v>444</v>
      </c>
      <c r="D38" s="116">
        <f>'Base de données indicateurs1'!BF45</f>
        <v>1149980.3999999999</v>
      </c>
      <c r="E38" s="4">
        <f>'Base de données indicateurs1'!E45</f>
        <v>0</v>
      </c>
      <c r="F38" s="4">
        <f>'Base de données indicateurs1'!F45</f>
        <v>0</v>
      </c>
      <c r="G38" s="4">
        <f>'Base de données indicateurs1'!G45</f>
        <v>0</v>
      </c>
      <c r="H38" s="4">
        <f>'Base de données indicateurs1'!H45</f>
        <v>0</v>
      </c>
      <c r="I38" s="4">
        <f>'Base de données indicateurs1'!I45</f>
        <v>61160</v>
      </c>
      <c r="J38" s="4">
        <f>'Base de données indicateurs1'!J45</f>
        <v>0</v>
      </c>
      <c r="K38" s="4">
        <f>'Base de données indicateurs1'!K45</f>
        <v>0</v>
      </c>
      <c r="L38" s="4">
        <f>'Base de données indicateurs1'!L45</f>
        <v>0</v>
      </c>
      <c r="M38" s="4">
        <f>'Base de données indicateurs1'!M45</f>
        <v>140</v>
      </c>
      <c r="N38" s="4">
        <f>'Base de données indicateurs1'!N45</f>
        <v>0</v>
      </c>
      <c r="O38" s="4">
        <f>'Base de données indicateurs1'!O45</f>
        <v>22240</v>
      </c>
      <c r="P38" s="4">
        <f>'Base de données indicateurs1'!P45</f>
        <v>0</v>
      </c>
      <c r="Q38" s="4">
        <f>'Base de données indicateurs1'!Q45</f>
        <v>0</v>
      </c>
      <c r="R38" s="4">
        <f>'Base de données indicateurs1'!R45</f>
        <v>0</v>
      </c>
      <c r="S38" s="4">
        <f>'Base de données indicateurs1'!S45</f>
        <v>0</v>
      </c>
      <c r="T38" s="4">
        <f>'Base de données indicateurs1'!T45</f>
        <v>0</v>
      </c>
      <c r="U38" s="4">
        <f>'Base de données indicateurs1'!U45</f>
        <v>14800</v>
      </c>
      <c r="V38" s="4">
        <f>'Base de données indicateurs1'!V45</f>
        <v>0</v>
      </c>
      <c r="W38" s="4">
        <f>'Base de données indicateurs1'!W45</f>
        <v>0</v>
      </c>
      <c r="X38" s="4">
        <f>'Base de données indicateurs1'!X45</f>
        <v>0</v>
      </c>
      <c r="Y38" s="4">
        <f>'Base de données indicateurs1'!Y45</f>
        <v>0</v>
      </c>
      <c r="Z38" s="4">
        <f>'Base de données indicateurs1'!Z45</f>
        <v>0</v>
      </c>
      <c r="AA38" s="4">
        <f>'Base de données indicateurs1'!AA45</f>
        <v>200</v>
      </c>
      <c r="AB38" s="4">
        <f>'Base de données indicateurs1'!AB45</f>
        <v>0</v>
      </c>
      <c r="AC38" s="4">
        <f>'Base de données indicateurs1'!AC45</f>
        <v>11120</v>
      </c>
      <c r="AD38" s="4">
        <f>'Base de données indicateurs1'!AD45</f>
        <v>0</v>
      </c>
      <c r="AE38" s="4">
        <f>'Base de données indicateurs1'!AE45</f>
        <v>0</v>
      </c>
      <c r="AF38" s="4">
        <f>'Base de données indicateurs1'!AF45</f>
        <v>0</v>
      </c>
      <c r="AG38" s="4">
        <f>'Base de données indicateurs1'!AG45</f>
        <v>0</v>
      </c>
      <c r="AH38" s="4">
        <f>'Base de données indicateurs1'!AH45</f>
        <v>26480</v>
      </c>
      <c r="AI38" s="4">
        <f>'Base de données indicateurs1'!AI45</f>
        <v>0</v>
      </c>
      <c r="AJ38" s="4">
        <f>'Base de données indicateurs1'!AJ45</f>
        <v>0</v>
      </c>
      <c r="AK38" s="4">
        <f>'Base de données indicateurs1'!AK45</f>
        <v>0</v>
      </c>
      <c r="AL38" s="4">
        <f>'Base de données indicateurs1'!AL45</f>
        <v>0</v>
      </c>
      <c r="AM38" s="4">
        <f>'Base de données indicateurs1'!AM45</f>
        <v>0</v>
      </c>
      <c r="AN38" s="4">
        <f>'Base de données indicateurs1'!AN45</f>
        <v>0</v>
      </c>
      <c r="AO38" s="4">
        <f>'Base de données indicateurs1'!AO45</f>
        <v>0</v>
      </c>
      <c r="AP38" s="4">
        <f>'Base de données indicateurs1'!AP45</f>
        <v>0</v>
      </c>
      <c r="AQ38" s="4">
        <f>'Base de données indicateurs1'!AQ45</f>
        <v>0</v>
      </c>
      <c r="AR38" s="4">
        <f>'Base de données indicateurs1'!AR45</f>
        <v>0</v>
      </c>
      <c r="AS38" s="4">
        <f>'Base de données indicateurs1'!AS45</f>
        <v>140026</v>
      </c>
      <c r="AT38" s="4">
        <f>'Base de données indicateurs1'!AT45</f>
        <v>0</v>
      </c>
      <c r="AU38" s="4">
        <f>'Base de données indicateurs1'!AU45</f>
        <v>0</v>
      </c>
      <c r="AV38" s="4">
        <f>'Base de données indicateurs1'!AV45</f>
        <v>0</v>
      </c>
      <c r="AW38" s="4">
        <f>'Base de données indicateurs1'!AW45</f>
        <v>22240</v>
      </c>
      <c r="AX38" s="4">
        <f>'Base de données indicateurs1'!AX45</f>
        <v>0</v>
      </c>
      <c r="AY38" s="4">
        <f>'Base de données indicateurs1'!AY45</f>
        <v>0</v>
      </c>
      <c r="AZ38" s="4">
        <f>'Base de données indicateurs1'!AZ45</f>
        <v>26800</v>
      </c>
      <c r="BA38" s="4">
        <f>'Base de données indicateurs1'!BA45</f>
        <v>40</v>
      </c>
      <c r="BB38" s="4">
        <f>'Base de données indicateurs1'!BB45</f>
        <v>11120</v>
      </c>
      <c r="BC38" s="4">
        <f>'Base de données indicateurs1'!BC45</f>
        <v>0</v>
      </c>
      <c r="BD38" s="4">
        <f>'Base de données indicateurs1'!BD45</f>
        <v>813614.4</v>
      </c>
      <c r="BE38" s="4">
        <f>'Base de données indicateurs1'!BE45</f>
        <v>0</v>
      </c>
      <c r="BF38" s="4">
        <f t="shared" si="0"/>
        <v>98340</v>
      </c>
      <c r="BG38" s="4">
        <f t="shared" si="1"/>
        <v>37800</v>
      </c>
      <c r="BH38" s="4">
        <f t="shared" si="2"/>
        <v>1013840.4</v>
      </c>
    </row>
    <row r="39" spans="1:60" ht="15.75" thickBot="1" x14ac:dyDescent="0.3">
      <c r="A39" s="117"/>
      <c r="B39" s="118"/>
      <c r="C39" s="117"/>
      <c r="D39" s="119"/>
      <c r="BF39" s="4"/>
      <c r="BG39" s="4"/>
      <c r="BH39" s="4"/>
    </row>
    <row r="40" spans="1:60" ht="15.75" thickBot="1" x14ac:dyDescent="0.3">
      <c r="A40" s="7" t="s">
        <v>566</v>
      </c>
      <c r="B40" s="64"/>
      <c r="C40" s="7"/>
      <c r="D40" s="120">
        <f>D33-D34-D35-D36-D37-D38</f>
        <v>-1086366.6300000004</v>
      </c>
      <c r="E40" s="145">
        <f>E33-E34-E35-E36-E37-E38</f>
        <v>-20512.809999999998</v>
      </c>
      <c r="F40" s="129">
        <f t="shared" ref="F40:BE40" si="7">F33-F34-F35-F36-F37-F38</f>
        <v>19460.32</v>
      </c>
      <c r="G40" s="129">
        <f t="shared" si="7"/>
        <v>-5451.8699999999953</v>
      </c>
      <c r="H40" s="129">
        <f t="shared" si="7"/>
        <v>-3649.7899999999936</v>
      </c>
      <c r="I40" s="129">
        <f t="shared" si="7"/>
        <v>-438050</v>
      </c>
      <c r="J40" s="129">
        <f t="shared" si="7"/>
        <v>93470.38</v>
      </c>
      <c r="K40" s="129">
        <f t="shared" si="7"/>
        <v>19403.119999999995</v>
      </c>
      <c r="L40" s="129">
        <f t="shared" si="7"/>
        <v>-167764.63999999996</v>
      </c>
      <c r="M40" s="129">
        <f t="shared" si="7"/>
        <v>1430.6100000000006</v>
      </c>
      <c r="N40" s="129">
        <f t="shared" si="7"/>
        <v>0</v>
      </c>
      <c r="O40" s="129">
        <f t="shared" si="7"/>
        <v>113195.21000000002</v>
      </c>
      <c r="P40" s="129">
        <f t="shared" si="7"/>
        <v>13220.71</v>
      </c>
      <c r="Q40" s="129">
        <f t="shared" si="7"/>
        <v>-5069.5899999999992</v>
      </c>
      <c r="R40" s="129">
        <f t="shared" si="7"/>
        <v>9675</v>
      </c>
      <c r="S40" s="129">
        <f t="shared" si="7"/>
        <v>45063.479999999996</v>
      </c>
      <c r="T40" s="129">
        <f t="shared" si="7"/>
        <v>32169.050000000003</v>
      </c>
      <c r="U40" s="129">
        <f t="shared" si="7"/>
        <v>-10374.75</v>
      </c>
      <c r="V40" s="129">
        <f t="shared" si="7"/>
        <v>30011.019999999997</v>
      </c>
      <c r="W40" s="129">
        <f t="shared" si="7"/>
        <v>-86437.62000000001</v>
      </c>
      <c r="X40" s="129">
        <f t="shared" si="7"/>
        <v>218</v>
      </c>
      <c r="Y40" s="129">
        <f t="shared" si="7"/>
        <v>77537.299999999988</v>
      </c>
      <c r="Z40" s="129">
        <f t="shared" si="7"/>
        <v>3391.8400000000038</v>
      </c>
      <c r="AA40" s="129">
        <f t="shared" si="7"/>
        <v>-9735</v>
      </c>
      <c r="AB40" s="129">
        <f t="shared" si="7"/>
        <v>-12769.11</v>
      </c>
      <c r="AC40" s="129">
        <f t="shared" si="7"/>
        <v>3993.8099999999995</v>
      </c>
      <c r="AD40" s="129">
        <f t="shared" si="7"/>
        <v>-69669.540000000008</v>
      </c>
      <c r="AE40" s="129">
        <f t="shared" si="7"/>
        <v>-20765.370000000003</v>
      </c>
      <c r="AF40" s="129">
        <f t="shared" si="7"/>
        <v>-44833.85</v>
      </c>
      <c r="AG40" s="129">
        <f t="shared" si="7"/>
        <v>791.60000000002037</v>
      </c>
      <c r="AH40" s="129">
        <f t="shared" si="7"/>
        <v>43513.48000000004</v>
      </c>
      <c r="AI40" s="129">
        <f t="shared" si="7"/>
        <v>8360.57</v>
      </c>
      <c r="AJ40" s="129">
        <f t="shared" si="7"/>
        <v>-2996.3199999999997</v>
      </c>
      <c r="AK40" s="129">
        <f t="shared" si="7"/>
        <v>96615.76</v>
      </c>
      <c r="AL40" s="129">
        <f t="shared" si="7"/>
        <v>-117328</v>
      </c>
      <c r="AM40" s="129">
        <f t="shared" si="7"/>
        <v>43848.999999999985</v>
      </c>
      <c r="AN40" s="129">
        <f t="shared" si="7"/>
        <v>11040.379999999997</v>
      </c>
      <c r="AO40" s="129">
        <f t="shared" si="7"/>
        <v>-56303.34</v>
      </c>
      <c r="AP40" s="129">
        <f t="shared" si="7"/>
        <v>7573.9000000000051</v>
      </c>
      <c r="AQ40" s="129">
        <f t="shared" si="7"/>
        <v>26528.05</v>
      </c>
      <c r="AR40" s="129">
        <f t="shared" si="7"/>
        <v>-265120.82999999996</v>
      </c>
      <c r="AS40" s="129">
        <f t="shared" si="7"/>
        <v>-88549.18</v>
      </c>
      <c r="AT40" s="129">
        <f t="shared" si="7"/>
        <v>1285.410000000018</v>
      </c>
      <c r="AU40" s="129">
        <f t="shared" si="7"/>
        <v>-7352.0999999999985</v>
      </c>
      <c r="AV40" s="129">
        <f t="shared" si="7"/>
        <v>151832.56</v>
      </c>
      <c r="AW40" s="129">
        <f t="shared" si="7"/>
        <v>-2369.989999999998</v>
      </c>
      <c r="AX40" s="129">
        <f t="shared" si="7"/>
        <v>-4406.74</v>
      </c>
      <c r="AY40" s="129">
        <f t="shared" si="7"/>
        <v>-35223.74</v>
      </c>
      <c r="AZ40" s="129">
        <f t="shared" si="7"/>
        <v>103351.89</v>
      </c>
      <c r="BA40" s="129">
        <f t="shared" si="7"/>
        <v>-32439.87</v>
      </c>
      <c r="BB40" s="129">
        <f t="shared" si="7"/>
        <v>-74119.360000000001</v>
      </c>
      <c r="BC40" s="129">
        <f t="shared" si="7"/>
        <v>-6249.65</v>
      </c>
      <c r="BD40" s="129">
        <f t="shared" si="7"/>
        <v>-403833.87999999995</v>
      </c>
      <c r="BE40" s="129">
        <f t="shared" si="7"/>
        <v>-51972.14</v>
      </c>
      <c r="BF40" s="4">
        <f t="shared" si="0"/>
        <v>-360212.16999999993</v>
      </c>
      <c r="BG40" s="4">
        <f t="shared" si="1"/>
        <v>-22962.589999999967</v>
      </c>
      <c r="BH40" s="4">
        <f t="shared" si="2"/>
        <v>-703191.86999999976</v>
      </c>
    </row>
    <row r="41" spans="1:60" x14ac:dyDescent="0.25">
      <c r="A41" s="7"/>
      <c r="B41" s="64"/>
      <c r="C41" s="7"/>
      <c r="D41" s="129"/>
      <c r="BF41" s="4"/>
      <c r="BG41" s="4"/>
      <c r="BH41" s="4"/>
    </row>
    <row r="42" spans="1:60" x14ac:dyDescent="0.25">
      <c r="A42" s="111" t="s">
        <v>567</v>
      </c>
      <c r="B42" s="112" t="s">
        <v>231</v>
      </c>
      <c r="C42" s="111">
        <v>400</v>
      </c>
      <c r="D42" s="113">
        <f>'Base de données indicateurs1'!BF38</f>
        <v>164946900.33999997</v>
      </c>
      <c r="E42" s="4">
        <f>'Base de données indicateurs1'!E38</f>
        <v>2399050.6</v>
      </c>
      <c r="F42" s="4">
        <f>'Base de données indicateurs1'!F38</f>
        <v>537011.25</v>
      </c>
      <c r="G42" s="4">
        <f>'Base de données indicateurs1'!G38</f>
        <v>955512.5</v>
      </c>
      <c r="H42" s="4">
        <f>'Base de données indicateurs1'!H38</f>
        <v>877308.4</v>
      </c>
      <c r="I42" s="4">
        <f>'Base de données indicateurs1'!I38</f>
        <v>6506383</v>
      </c>
      <c r="J42" s="4">
        <f>'Base de données indicateurs1'!J38</f>
        <v>7933663.8499999996</v>
      </c>
      <c r="K42" s="4">
        <f>'Base de données indicateurs1'!K38</f>
        <v>5544167.2999999998</v>
      </c>
      <c r="L42" s="4">
        <f>'Base de données indicateurs1'!L38</f>
        <v>28553161.5</v>
      </c>
      <c r="M42" s="4">
        <f>'Base de données indicateurs1'!M38</f>
        <v>2748752.09</v>
      </c>
      <c r="N42" s="4">
        <f>'Base de données indicateurs1'!N38</f>
        <v>0</v>
      </c>
      <c r="O42" s="4">
        <f>'Base de données indicateurs1'!O38</f>
        <v>13756608</v>
      </c>
      <c r="P42" s="4">
        <f>'Base de données indicateurs1'!P38</f>
        <v>1011339.5</v>
      </c>
      <c r="Q42" s="4">
        <f>'Base de données indicateurs1'!Q38</f>
        <v>180720.2</v>
      </c>
      <c r="R42" s="4">
        <f>'Base de données indicateurs1'!R38</f>
        <v>854184.35</v>
      </c>
      <c r="S42" s="4">
        <f>'Base de données indicateurs1'!S38</f>
        <v>602762.5</v>
      </c>
      <c r="T42" s="4">
        <f>'Base de données indicateurs1'!T38</f>
        <v>1797303.6</v>
      </c>
      <c r="U42" s="4">
        <f>'Base de données indicateurs1'!U38</f>
        <v>494316.95</v>
      </c>
      <c r="V42" s="4">
        <f>'Base de données indicateurs1'!V38</f>
        <v>1157764.6499999999</v>
      </c>
      <c r="W42" s="4">
        <f>'Base de données indicateurs1'!W38</f>
        <v>6519291.7999999998</v>
      </c>
      <c r="X42" s="4">
        <f>'Base de données indicateurs1'!X38</f>
        <v>722638</v>
      </c>
      <c r="Y42" s="4">
        <f>'Base de données indicateurs1'!Y38</f>
        <v>3318239.37</v>
      </c>
      <c r="Z42" s="4">
        <f>'Base de données indicateurs1'!Z38</f>
        <v>2784771.7</v>
      </c>
      <c r="AA42" s="4">
        <f>'Base de données indicateurs1'!AA38</f>
        <v>166231</v>
      </c>
      <c r="AB42" s="4">
        <f>'Base de données indicateurs1'!AB38</f>
        <v>246851.8</v>
      </c>
      <c r="AC42" s="4">
        <f>'Base de données indicateurs1'!AC38</f>
        <v>1347499.1</v>
      </c>
      <c r="AD42" s="4">
        <f>'Base de données indicateurs1'!AD38</f>
        <v>1163704.6499999999</v>
      </c>
      <c r="AE42" s="4">
        <f>'Base de données indicateurs1'!AE38</f>
        <v>1089524.5</v>
      </c>
      <c r="AF42" s="4">
        <f>'Base de données indicateurs1'!AF38</f>
        <v>980100.75</v>
      </c>
      <c r="AG42" s="4">
        <f>'Base de données indicateurs1'!AG38</f>
        <v>4420675.25</v>
      </c>
      <c r="AH42" s="4">
        <f>'Base de données indicateurs1'!AH38</f>
        <v>6191256.5</v>
      </c>
      <c r="AI42" s="4">
        <f>'Base de données indicateurs1'!AI38</f>
        <v>456991</v>
      </c>
      <c r="AJ42" s="4">
        <f>'Base de données indicateurs1'!AJ38</f>
        <v>243519.25</v>
      </c>
      <c r="AK42" s="4">
        <f>'Base de données indicateurs1'!AK38</f>
        <v>4302044.3</v>
      </c>
      <c r="AL42" s="4">
        <f>'Base de données indicateurs1'!AL38</f>
        <v>1732264</v>
      </c>
      <c r="AM42" s="4">
        <f>'Base de données indicateurs1'!AM38</f>
        <v>2498137.9500000002</v>
      </c>
      <c r="AN42" s="4">
        <f>'Base de données indicateurs1'!AN38</f>
        <v>261580.65</v>
      </c>
      <c r="AO42" s="4">
        <f>'Base de données indicateurs1'!AO38</f>
        <v>3827633.75</v>
      </c>
      <c r="AP42" s="4">
        <f>'Base de données indicateurs1'!AP38</f>
        <v>1314195.3</v>
      </c>
      <c r="AQ42" s="4">
        <f>'Base de données indicateurs1'!AQ38</f>
        <v>1533277</v>
      </c>
      <c r="AR42" s="4">
        <f>'Base de données indicateurs1'!AR38</f>
        <v>2280940.4</v>
      </c>
      <c r="AS42" s="4">
        <f>'Base de données indicateurs1'!AS38</f>
        <v>1444177.6</v>
      </c>
      <c r="AT42" s="4">
        <f>'Base de données indicateurs1'!AT38</f>
        <v>2102457.75</v>
      </c>
      <c r="AU42" s="4">
        <f>'Base de données indicateurs1'!AU38</f>
        <v>2205801.5499999998</v>
      </c>
      <c r="AV42" s="4">
        <f>'Base de données indicateurs1'!AV38</f>
        <v>5082414.08</v>
      </c>
      <c r="AW42" s="4">
        <f>'Base de données indicateurs1'!AW38</f>
        <v>1664323.5</v>
      </c>
      <c r="AX42" s="4">
        <f>'Base de données indicateurs1'!AX38</f>
        <v>335760.2</v>
      </c>
      <c r="AY42" s="4">
        <f>'Base de données indicateurs1'!AY38</f>
        <v>756659.25</v>
      </c>
      <c r="AZ42" s="4">
        <f>'Base de données indicateurs1'!AZ38</f>
        <v>4231081.0999999996</v>
      </c>
      <c r="BA42" s="4">
        <f>'Base de données indicateurs1'!BA38</f>
        <v>807108.35</v>
      </c>
      <c r="BB42" s="4">
        <f>'Base de données indicateurs1'!BB38</f>
        <v>2596328.9500000002</v>
      </c>
      <c r="BC42" s="4">
        <f>'Base de données indicateurs1'!BC38</f>
        <v>306282.3</v>
      </c>
      <c r="BD42" s="4">
        <f>'Base de données indicateurs1'!BD38</f>
        <v>19029351.100000001</v>
      </c>
      <c r="BE42" s="4">
        <f>'Base de données indicateurs1'!BE38</f>
        <v>1073776.3500000001</v>
      </c>
      <c r="BF42" s="4">
        <f t="shared" si="0"/>
        <v>82429302.040000007</v>
      </c>
      <c r="BG42" s="4">
        <f t="shared" si="1"/>
        <v>23132002.870000001</v>
      </c>
      <c r="BH42" s="4">
        <f t="shared" si="2"/>
        <v>59385595.430000007</v>
      </c>
    </row>
    <row r="43" spans="1:60" x14ac:dyDescent="0.25">
      <c r="A43" s="114" t="s">
        <v>568</v>
      </c>
      <c r="B43" s="115" t="s">
        <v>231</v>
      </c>
      <c r="C43" s="114">
        <v>401</v>
      </c>
      <c r="D43" s="116">
        <f>'Base de données indicateurs1'!BF39</f>
        <v>27783883.75</v>
      </c>
      <c r="E43" s="4">
        <f>'Base de données indicateurs1'!E39</f>
        <v>186863.75</v>
      </c>
      <c r="F43" s="4">
        <f>'Base de données indicateurs1'!F39</f>
        <v>12530.3</v>
      </c>
      <c r="G43" s="4">
        <f>'Base de données indicateurs1'!G39</f>
        <v>72576.7</v>
      </c>
      <c r="H43" s="4">
        <f>'Base de données indicateurs1'!H39</f>
        <v>82257.149999999994</v>
      </c>
      <c r="I43" s="4">
        <f>'Base de données indicateurs1'!I39</f>
        <v>402270</v>
      </c>
      <c r="J43" s="4">
        <f>'Base de données indicateurs1'!J39</f>
        <v>637302.1</v>
      </c>
      <c r="K43" s="4">
        <f>'Base de données indicateurs1'!K39</f>
        <v>948116.15</v>
      </c>
      <c r="L43" s="4">
        <f>'Base de données indicateurs1'!L39</f>
        <v>5630325.2000000002</v>
      </c>
      <c r="M43" s="4">
        <f>'Base de données indicateurs1'!M39</f>
        <v>440551.95</v>
      </c>
      <c r="N43" s="4">
        <f>'Base de données indicateurs1'!N39</f>
        <v>0</v>
      </c>
      <c r="O43" s="4">
        <f>'Base de données indicateurs1'!O39</f>
        <v>648784.6</v>
      </c>
      <c r="P43" s="4">
        <f>'Base de données indicateurs1'!P39</f>
        <v>43209.25</v>
      </c>
      <c r="Q43" s="4">
        <f>'Base de données indicateurs1'!Q39</f>
        <v>-2994.7</v>
      </c>
      <c r="R43" s="4">
        <f>'Base de données indicateurs1'!R39</f>
        <v>11294.05</v>
      </c>
      <c r="S43" s="4">
        <f>'Base de données indicateurs1'!S39</f>
        <v>-4335.8</v>
      </c>
      <c r="T43" s="4">
        <f>'Base de données indicateurs1'!T39</f>
        <v>39931.449999999997</v>
      </c>
      <c r="U43" s="4">
        <f>'Base de données indicateurs1'!U39</f>
        <v>21951.7</v>
      </c>
      <c r="V43" s="4">
        <f>'Base de données indicateurs1'!V39</f>
        <v>91657.95</v>
      </c>
      <c r="W43" s="4">
        <f>'Base de données indicateurs1'!W39</f>
        <v>154646.65</v>
      </c>
      <c r="X43" s="4">
        <f>'Base de données indicateurs1'!X39</f>
        <v>5100</v>
      </c>
      <c r="Y43" s="4">
        <f>'Base de données indicateurs1'!Y39</f>
        <v>115383.25</v>
      </c>
      <c r="Z43" s="4">
        <f>'Base de données indicateurs1'!Z39</f>
        <v>6765508.1500000004</v>
      </c>
      <c r="AA43" s="4">
        <f>'Base de données indicateurs1'!AA39</f>
        <v>927</v>
      </c>
      <c r="AB43" s="4">
        <f>'Base de données indicateurs1'!AB39</f>
        <v>8935.7999999999993</v>
      </c>
      <c r="AC43" s="4">
        <f>'Base de données indicateurs1'!AC39</f>
        <v>-224747.75</v>
      </c>
      <c r="AD43" s="4">
        <f>'Base de données indicateurs1'!AD39</f>
        <v>70136.850000000006</v>
      </c>
      <c r="AE43" s="4">
        <f>'Base de données indicateurs1'!AE39</f>
        <v>33283.550000000003</v>
      </c>
      <c r="AF43" s="4">
        <f>'Base de données indicateurs1'!AF39</f>
        <v>728213.45</v>
      </c>
      <c r="AG43" s="4">
        <f>'Base de données indicateurs1'!AG39</f>
        <v>1712675.4</v>
      </c>
      <c r="AH43" s="4">
        <f>'Base de données indicateurs1'!AH39</f>
        <v>682151.5</v>
      </c>
      <c r="AI43" s="4">
        <f>'Base de données indicateurs1'!AI39</f>
        <v>7959</v>
      </c>
      <c r="AJ43" s="4">
        <f>'Base de données indicateurs1'!AJ39</f>
        <v>7036.8</v>
      </c>
      <c r="AK43" s="4">
        <f>'Base de données indicateurs1'!AK39</f>
        <v>543718.55000000005</v>
      </c>
      <c r="AL43" s="4">
        <f>'Base de données indicateurs1'!AL39</f>
        <v>-65142</v>
      </c>
      <c r="AM43" s="4">
        <f>'Base de données indicateurs1'!AM39</f>
        <v>44564.75</v>
      </c>
      <c r="AN43" s="4">
        <f>'Base de données indicateurs1'!AN39</f>
        <v>1227.2</v>
      </c>
      <c r="AO43" s="4">
        <f>'Base de données indicateurs1'!AO39</f>
        <v>2557137.35</v>
      </c>
      <c r="AP43" s="4">
        <f>'Base de données indicateurs1'!AP39</f>
        <v>504468</v>
      </c>
      <c r="AQ43" s="4">
        <f>'Base de données indicateurs1'!AQ39</f>
        <v>144303</v>
      </c>
      <c r="AR43" s="4">
        <f>'Base de données indicateurs1'!AR39</f>
        <v>234509.05</v>
      </c>
      <c r="AS43" s="4">
        <f>'Base de données indicateurs1'!AS39</f>
        <v>17997.349999999999</v>
      </c>
      <c r="AT43" s="4">
        <f>'Base de données indicateurs1'!AT39</f>
        <v>5799</v>
      </c>
      <c r="AU43" s="4">
        <f>'Base de données indicateurs1'!AU39</f>
        <v>-66532.05</v>
      </c>
      <c r="AV43" s="4">
        <f>'Base de données indicateurs1'!AV39</f>
        <v>121676.35</v>
      </c>
      <c r="AW43" s="4">
        <f>'Base de données indicateurs1'!AW39</f>
        <v>271631.65000000002</v>
      </c>
      <c r="AX43" s="4">
        <f>'Base de données indicateurs1'!AX39</f>
        <v>10577.2</v>
      </c>
      <c r="AY43" s="4">
        <f>'Base de données indicateurs1'!AY39</f>
        <v>20567.45</v>
      </c>
      <c r="AZ43" s="4">
        <f>'Base de données indicateurs1'!AZ39</f>
        <v>333389.45</v>
      </c>
      <c r="BA43" s="4">
        <f>'Base de données indicateurs1'!BA39</f>
        <v>13071.35</v>
      </c>
      <c r="BB43" s="4">
        <f>'Base de données indicateurs1'!BB39</f>
        <v>590684</v>
      </c>
      <c r="BC43" s="4">
        <f>'Base de données indicateurs1'!BC39</f>
        <v>1833.95</v>
      </c>
      <c r="BD43" s="4">
        <f>'Base de données indicateurs1'!BD39</f>
        <v>3114215.25</v>
      </c>
      <c r="BE43" s="4">
        <f>'Base de données indicateurs1'!BE39</f>
        <v>54685.45</v>
      </c>
      <c r="BF43" s="4">
        <f t="shared" si="0"/>
        <v>9416938.4499999974</v>
      </c>
      <c r="BG43" s="4">
        <f t="shared" si="1"/>
        <v>9912563</v>
      </c>
      <c r="BH43" s="4">
        <f t="shared" si="2"/>
        <v>8454382.3000000007</v>
      </c>
    </row>
    <row r="44" spans="1:60" x14ac:dyDescent="0.25">
      <c r="A44" s="114" t="s">
        <v>140</v>
      </c>
      <c r="B44" s="115" t="s">
        <v>231</v>
      </c>
      <c r="C44" s="114">
        <v>402</v>
      </c>
      <c r="D44" s="116">
        <f>'Base de données indicateurs1'!BF40</f>
        <v>24599162.580000002</v>
      </c>
      <c r="E44" s="4">
        <f>'Base de données indicateurs1'!E40</f>
        <v>731404.75</v>
      </c>
      <c r="F44" s="4">
        <f>'Base de données indicateurs1'!F40</f>
        <v>185389.8</v>
      </c>
      <c r="G44" s="4">
        <f>'Base de données indicateurs1'!G40</f>
        <v>121243.5</v>
      </c>
      <c r="H44" s="4">
        <f>'Base de données indicateurs1'!H40</f>
        <v>100067</v>
      </c>
      <c r="I44" s="4">
        <f>'Base de données indicateurs1'!I40</f>
        <v>1206720</v>
      </c>
      <c r="J44" s="4">
        <f>'Base de données indicateurs1'!J40</f>
        <v>858889.8</v>
      </c>
      <c r="K44" s="4">
        <f>'Base de données indicateurs1'!K40</f>
        <v>569577.16</v>
      </c>
      <c r="L44" s="4">
        <f>'Base de données indicateurs1'!L40</f>
        <v>4805039.6500000004</v>
      </c>
      <c r="M44" s="4">
        <f>'Base de données indicateurs1'!M40</f>
        <v>285438.09999999998</v>
      </c>
      <c r="N44" s="4">
        <f>'Base de données indicateurs1'!N40</f>
        <v>0</v>
      </c>
      <c r="O44" s="4">
        <f>'Base de données indicateurs1'!O40</f>
        <v>2018940.6</v>
      </c>
      <c r="P44" s="4">
        <f>'Base de données indicateurs1'!P40</f>
        <v>201596.2</v>
      </c>
      <c r="Q44" s="4">
        <f>'Base de données indicateurs1'!Q40</f>
        <v>25861.599999999999</v>
      </c>
      <c r="R44" s="4">
        <f>'Base de données indicateurs1'!R40</f>
        <v>129743.5</v>
      </c>
      <c r="S44" s="4">
        <f>'Base de données indicateurs1'!S40</f>
        <v>112995.25</v>
      </c>
      <c r="T44" s="4">
        <f>'Base de données indicateurs1'!T40</f>
        <v>165077.04999999999</v>
      </c>
      <c r="U44" s="4">
        <f>'Base de données indicateurs1'!U40</f>
        <v>68771.95</v>
      </c>
      <c r="V44" s="4">
        <f>'Base de données indicateurs1'!V40</f>
        <v>100820.15</v>
      </c>
      <c r="W44" s="4">
        <f>'Base de données indicateurs1'!W40</f>
        <v>929582.2</v>
      </c>
      <c r="X44" s="4">
        <f>'Base de données indicateurs1'!X40</f>
        <v>88712</v>
      </c>
      <c r="Y44" s="4">
        <f>'Base de données indicateurs1'!Y40</f>
        <v>309706.15000000002</v>
      </c>
      <c r="Z44" s="4">
        <f>'Base de données indicateurs1'!Z40</f>
        <v>384754.9</v>
      </c>
      <c r="AA44" s="4">
        <f>'Base de données indicateurs1'!AA40</f>
        <v>57724</v>
      </c>
      <c r="AB44" s="4">
        <f>'Base de données indicateurs1'!AB40</f>
        <v>30357.599999999999</v>
      </c>
      <c r="AC44" s="4">
        <f>'Base de données indicateurs1'!AC40</f>
        <v>115397.1</v>
      </c>
      <c r="AD44" s="4">
        <f>'Base de données indicateurs1'!AD40</f>
        <v>189921.65</v>
      </c>
      <c r="AE44" s="4">
        <f>'Base de données indicateurs1'!AE40</f>
        <v>163073.15</v>
      </c>
      <c r="AF44" s="4">
        <f>'Base de données indicateurs1'!AF40</f>
        <v>175788.1</v>
      </c>
      <c r="AG44" s="4">
        <f>'Base de données indicateurs1'!AG40</f>
        <v>760741.25</v>
      </c>
      <c r="AH44" s="4">
        <f>'Base de données indicateurs1'!AH40</f>
        <v>709266.15</v>
      </c>
      <c r="AI44" s="4">
        <f>'Base de données indicateurs1'!AI40</f>
        <v>49796.55</v>
      </c>
      <c r="AJ44" s="4">
        <f>'Base de données indicateurs1'!AJ40</f>
        <v>47831.75</v>
      </c>
      <c r="AK44" s="4">
        <f>'Base de données indicateurs1'!AK40</f>
        <v>588045.05000000005</v>
      </c>
      <c r="AL44" s="4">
        <f>'Base de données indicateurs1'!AL40</f>
        <v>379495</v>
      </c>
      <c r="AM44" s="4">
        <f>'Base de données indicateurs1'!AM40</f>
        <v>399385.15</v>
      </c>
      <c r="AN44" s="4">
        <f>'Base de données indicateurs1'!AN40</f>
        <v>60708.15</v>
      </c>
      <c r="AO44" s="4">
        <f>'Base de données indicateurs1'!AO40</f>
        <v>483487.25</v>
      </c>
      <c r="AP44" s="4">
        <f>'Base de données indicateurs1'!AP40</f>
        <v>194160.08</v>
      </c>
      <c r="AQ44" s="4">
        <f>'Base de données indicateurs1'!AQ40</f>
        <v>248238.75</v>
      </c>
      <c r="AR44" s="4">
        <f>'Base de données indicateurs1'!AR40</f>
        <v>746276.6</v>
      </c>
      <c r="AS44" s="4">
        <f>'Base de données indicateurs1'!AS40</f>
        <v>279977.3</v>
      </c>
      <c r="AT44" s="4">
        <f>'Base de données indicateurs1'!AT40</f>
        <v>325815.2</v>
      </c>
      <c r="AU44" s="4">
        <f>'Base de données indicateurs1'!AU40</f>
        <v>121529.85</v>
      </c>
      <c r="AV44" s="4">
        <f>'Base de données indicateurs1'!AV40</f>
        <v>863280.8</v>
      </c>
      <c r="AW44" s="4">
        <f>'Base de données indicateurs1'!AW40</f>
        <v>262032.55</v>
      </c>
      <c r="AX44" s="4">
        <f>'Base de données indicateurs1'!AX40</f>
        <v>59010</v>
      </c>
      <c r="AY44" s="4">
        <f>'Base de données indicateurs1'!AY40</f>
        <v>118839.75</v>
      </c>
      <c r="AZ44" s="4">
        <f>'Base de données indicateurs1'!AZ40</f>
        <v>422436.6</v>
      </c>
      <c r="BA44" s="4">
        <f>'Base de données indicateurs1'!BA40</f>
        <v>150432.65</v>
      </c>
      <c r="BB44" s="4">
        <f>'Base de données indicateurs1'!BB40</f>
        <v>412332.79</v>
      </c>
      <c r="BC44" s="4">
        <f>'Base de données indicateurs1'!BC40</f>
        <v>31918.1</v>
      </c>
      <c r="BD44" s="4">
        <f>'Base de données indicateurs1'!BD40</f>
        <v>2493852.5499999998</v>
      </c>
      <c r="BE44" s="4">
        <f>'Base de données indicateurs1'!BE40</f>
        <v>257679.8</v>
      </c>
      <c r="BF44" s="4">
        <f t="shared" si="0"/>
        <v>12617158.259999998</v>
      </c>
      <c r="BG44" s="4">
        <f t="shared" si="1"/>
        <v>3083070.3499999996</v>
      </c>
      <c r="BH44" s="4">
        <f t="shared" si="2"/>
        <v>8898933.9700000007</v>
      </c>
    </row>
    <row r="45" spans="1:60" ht="15.75" thickBot="1" x14ac:dyDescent="0.3">
      <c r="A45" s="7"/>
      <c r="B45" s="64"/>
      <c r="C45" s="7"/>
      <c r="D45" s="129"/>
      <c r="BF45" s="4"/>
      <c r="BG45" s="4"/>
      <c r="BH45" s="4"/>
    </row>
    <row r="46" spans="1:60" ht="15.75" thickBot="1" x14ac:dyDescent="0.3">
      <c r="A46" s="7" t="s">
        <v>569</v>
      </c>
      <c r="B46" s="64"/>
      <c r="C46" s="7"/>
      <c r="D46" s="120">
        <f>SUM(D42:D44)</f>
        <v>217329946.66999999</v>
      </c>
      <c r="E46" s="145">
        <f>SUM(E42:E44)</f>
        <v>3317319.1</v>
      </c>
      <c r="F46" s="129">
        <f t="shared" ref="F46:BE46" si="8">SUM(F42:F44)</f>
        <v>734931.35000000009</v>
      </c>
      <c r="G46" s="129">
        <f t="shared" si="8"/>
        <v>1149332.7</v>
      </c>
      <c r="H46" s="129">
        <f t="shared" si="8"/>
        <v>1059632.55</v>
      </c>
      <c r="I46" s="129">
        <f t="shared" si="8"/>
        <v>8115373</v>
      </c>
      <c r="J46" s="129">
        <f t="shared" si="8"/>
        <v>9429855.75</v>
      </c>
      <c r="K46" s="129">
        <f t="shared" si="8"/>
        <v>7061860.6100000003</v>
      </c>
      <c r="L46" s="129">
        <f t="shared" si="8"/>
        <v>38988526.350000001</v>
      </c>
      <c r="M46" s="129">
        <f t="shared" si="8"/>
        <v>3474742.14</v>
      </c>
      <c r="N46" s="129">
        <f t="shared" si="8"/>
        <v>0</v>
      </c>
      <c r="O46" s="129">
        <f t="shared" si="8"/>
        <v>16424333.199999999</v>
      </c>
      <c r="P46" s="129">
        <f t="shared" si="8"/>
        <v>1256144.95</v>
      </c>
      <c r="Q46" s="129">
        <f t="shared" si="8"/>
        <v>203587.1</v>
      </c>
      <c r="R46" s="129">
        <f t="shared" si="8"/>
        <v>995221.9</v>
      </c>
      <c r="S46" s="129">
        <f t="shared" si="8"/>
        <v>711421.95</v>
      </c>
      <c r="T46" s="129">
        <f t="shared" si="8"/>
        <v>2002312.1</v>
      </c>
      <c r="U46" s="129">
        <f t="shared" si="8"/>
        <v>585040.6</v>
      </c>
      <c r="V46" s="129">
        <f t="shared" si="8"/>
        <v>1350242.7499999998</v>
      </c>
      <c r="W46" s="129">
        <f t="shared" si="8"/>
        <v>7603520.6500000004</v>
      </c>
      <c r="X46" s="129">
        <f t="shared" si="8"/>
        <v>816450</v>
      </c>
      <c r="Y46" s="129">
        <f t="shared" si="8"/>
        <v>3743328.77</v>
      </c>
      <c r="Z46" s="129">
        <f t="shared" si="8"/>
        <v>9935034.7500000019</v>
      </c>
      <c r="AA46" s="129">
        <f t="shared" si="8"/>
        <v>224882</v>
      </c>
      <c r="AB46" s="129">
        <f t="shared" si="8"/>
        <v>286145.19999999995</v>
      </c>
      <c r="AC46" s="129">
        <f t="shared" si="8"/>
        <v>1238148.4500000002</v>
      </c>
      <c r="AD46" s="129">
        <f t="shared" si="8"/>
        <v>1423763.15</v>
      </c>
      <c r="AE46" s="129">
        <f t="shared" si="8"/>
        <v>1285881.2</v>
      </c>
      <c r="AF46" s="129">
        <f t="shared" si="8"/>
        <v>1884102.3</v>
      </c>
      <c r="AG46" s="129">
        <f t="shared" si="8"/>
        <v>6894091.9000000004</v>
      </c>
      <c r="AH46" s="129">
        <f t="shared" si="8"/>
        <v>7582674.1500000004</v>
      </c>
      <c r="AI46" s="129">
        <f t="shared" si="8"/>
        <v>514746.55</v>
      </c>
      <c r="AJ46" s="129">
        <f t="shared" si="8"/>
        <v>298387.8</v>
      </c>
      <c r="AK46" s="129">
        <f t="shared" si="8"/>
        <v>5433807.8999999994</v>
      </c>
      <c r="AL46" s="129">
        <f t="shared" si="8"/>
        <v>2046617</v>
      </c>
      <c r="AM46" s="129">
        <f t="shared" si="8"/>
        <v>2942087.85</v>
      </c>
      <c r="AN46" s="129">
        <f t="shared" si="8"/>
        <v>323516</v>
      </c>
      <c r="AO46" s="129">
        <f t="shared" si="8"/>
        <v>6868258.3499999996</v>
      </c>
      <c r="AP46" s="129">
        <f t="shared" si="8"/>
        <v>2012823.3800000001</v>
      </c>
      <c r="AQ46" s="129">
        <f t="shared" si="8"/>
        <v>1925818.75</v>
      </c>
      <c r="AR46" s="129">
        <f t="shared" si="8"/>
        <v>3261726.05</v>
      </c>
      <c r="AS46" s="129">
        <f t="shared" si="8"/>
        <v>1742152.2500000002</v>
      </c>
      <c r="AT46" s="129">
        <f t="shared" si="8"/>
        <v>2434071.9500000002</v>
      </c>
      <c r="AU46" s="129">
        <f t="shared" si="8"/>
        <v>2260799.35</v>
      </c>
      <c r="AV46" s="129">
        <f t="shared" si="8"/>
        <v>6067371.2299999995</v>
      </c>
      <c r="AW46" s="129">
        <f t="shared" si="8"/>
        <v>2197987.6999999997</v>
      </c>
      <c r="AX46" s="129">
        <f t="shared" si="8"/>
        <v>405347.4</v>
      </c>
      <c r="AY46" s="129">
        <f t="shared" si="8"/>
        <v>896066.45</v>
      </c>
      <c r="AZ46" s="129">
        <f t="shared" si="8"/>
        <v>4986907.1499999994</v>
      </c>
      <c r="BA46" s="129">
        <f t="shared" si="8"/>
        <v>970612.35</v>
      </c>
      <c r="BB46" s="129">
        <f t="shared" si="8"/>
        <v>3599345.74</v>
      </c>
      <c r="BC46" s="129">
        <f t="shared" si="8"/>
        <v>340034.35</v>
      </c>
      <c r="BD46" s="129">
        <f t="shared" si="8"/>
        <v>24637418.900000002</v>
      </c>
      <c r="BE46" s="129">
        <f t="shared" si="8"/>
        <v>1386141.6</v>
      </c>
      <c r="BF46" s="4">
        <f t="shared" si="0"/>
        <v>104463398.75</v>
      </c>
      <c r="BG46" s="4">
        <f t="shared" si="1"/>
        <v>36127636.219999991</v>
      </c>
      <c r="BH46" s="4">
        <f t="shared" si="2"/>
        <v>76738911.700000003</v>
      </c>
    </row>
    <row r="47" spans="1:60" ht="15.75" thickBot="1" x14ac:dyDescent="0.3">
      <c r="B47" s="121"/>
      <c r="D47" s="4"/>
      <c r="BF47" s="4"/>
      <c r="BG47" s="4"/>
      <c r="BH47" s="4"/>
    </row>
    <row r="48" spans="1:60" ht="15.75" thickBot="1" x14ac:dyDescent="0.3">
      <c r="A48" s="7" t="s">
        <v>570</v>
      </c>
      <c r="B48" s="121"/>
      <c r="D48" s="120">
        <f>IF(D46&lt;&gt;0,D40/D46,"")*100</f>
        <v>-0.49986973569250925</v>
      </c>
      <c r="E48" s="145">
        <f>IF(E46&lt;&gt;0,E40/E46,"")*100</f>
        <v>-0.61835504459007262</v>
      </c>
      <c r="F48" s="129">
        <f t="shared" ref="F48:BH48" si="9">IF(F46&lt;&gt;0,F40/F46,"")*100</f>
        <v>2.6479099034215912</v>
      </c>
      <c r="G48" s="129">
        <f t="shared" si="9"/>
        <v>-0.47435089943930031</v>
      </c>
      <c r="H48" s="129">
        <f t="shared" si="9"/>
        <v>-0.34443921149836265</v>
      </c>
      <c r="I48" s="129">
        <f t="shared" si="9"/>
        <v>-5.397780237581193</v>
      </c>
      <c r="J48" s="129">
        <f t="shared" si="9"/>
        <v>0.99121749555925076</v>
      </c>
      <c r="K48" s="129">
        <f t="shared" si="9"/>
        <v>0.27475931728989472</v>
      </c>
      <c r="L48" s="129">
        <f t="shared" si="9"/>
        <v>-0.43029233393941796</v>
      </c>
      <c r="M48" s="129">
        <f t="shared" si="9"/>
        <v>4.1171688210509934E-2</v>
      </c>
      <c r="N48" s="129" t="e">
        <f t="shared" si="9"/>
        <v>#VALUE!</v>
      </c>
      <c r="O48" s="129">
        <f t="shared" si="9"/>
        <v>0.68919211892267274</v>
      </c>
      <c r="P48" s="129">
        <f t="shared" si="9"/>
        <v>1.0524828364752012</v>
      </c>
      <c r="Q48" s="129">
        <f t="shared" si="9"/>
        <v>-2.4901332157096392</v>
      </c>
      <c r="R48" s="129">
        <f t="shared" si="9"/>
        <v>0.97214500605342391</v>
      </c>
      <c r="S48" s="129">
        <f t="shared" si="9"/>
        <v>6.3342830510079144</v>
      </c>
      <c r="T48" s="129">
        <f t="shared" si="9"/>
        <v>1.6065951956240987</v>
      </c>
      <c r="U48" s="129">
        <f t="shared" si="9"/>
        <v>-1.7733384657406683</v>
      </c>
      <c r="V48" s="129">
        <f t="shared" si="9"/>
        <v>2.2226388551243841</v>
      </c>
      <c r="W48" s="129">
        <f t="shared" si="9"/>
        <v>-1.1368104852848662</v>
      </c>
      <c r="X48" s="129">
        <f t="shared" si="9"/>
        <v>2.6700961479576211E-2</v>
      </c>
      <c r="Y48" s="129">
        <f t="shared" si="9"/>
        <v>2.0713462472600286</v>
      </c>
      <c r="Z48" s="129">
        <f t="shared" si="9"/>
        <v>3.4140192614827071E-2</v>
      </c>
      <c r="AA48" s="129">
        <f t="shared" si="9"/>
        <v>-4.3289369536023337</v>
      </c>
      <c r="AB48" s="129">
        <f t="shared" si="9"/>
        <v>-4.4624582205118255</v>
      </c>
      <c r="AC48" s="129">
        <f t="shared" si="9"/>
        <v>0.32256309814869116</v>
      </c>
      <c r="AD48" s="129">
        <f t="shared" si="9"/>
        <v>-4.8933377718056548</v>
      </c>
      <c r="AE48" s="129">
        <f t="shared" si="9"/>
        <v>-1.614874686712894</v>
      </c>
      <c r="AF48" s="129">
        <f t="shared" si="9"/>
        <v>-2.3795868196753434</v>
      </c>
      <c r="AG48" s="129">
        <f t="shared" si="9"/>
        <v>1.1482295441985918E-2</v>
      </c>
      <c r="AH48" s="129">
        <f t="shared" si="9"/>
        <v>0.57385401428597638</v>
      </c>
      <c r="AI48" s="129">
        <f t="shared" si="9"/>
        <v>1.6242109830556417</v>
      </c>
      <c r="AJ48" s="129">
        <f t="shared" si="9"/>
        <v>-1.0041697415242847</v>
      </c>
      <c r="AK48" s="129">
        <f t="shared" si="9"/>
        <v>1.7780488706639779</v>
      </c>
      <c r="AL48" s="129">
        <f t="shared" si="9"/>
        <v>-5.732777554373877</v>
      </c>
      <c r="AM48" s="129">
        <f t="shared" si="9"/>
        <v>1.4904041699502613</v>
      </c>
      <c r="AN48" s="129">
        <f t="shared" si="9"/>
        <v>3.4126225596261071</v>
      </c>
      <c r="AO48" s="129">
        <f t="shared" si="9"/>
        <v>-0.81976153386833506</v>
      </c>
      <c r="AP48" s="129">
        <f t="shared" si="9"/>
        <v>0.37628239393761437</v>
      </c>
      <c r="AQ48" s="129">
        <f t="shared" si="9"/>
        <v>1.3774946370212668</v>
      </c>
      <c r="AR48" s="129">
        <f t="shared" si="9"/>
        <v>-8.1282371951500938</v>
      </c>
      <c r="AS48" s="129">
        <f t="shared" si="9"/>
        <v>-5.08274635583658</v>
      </c>
      <c r="AT48" s="129">
        <f t="shared" si="9"/>
        <v>5.2809038779647328E-2</v>
      </c>
      <c r="AU48" s="129">
        <f t="shared" si="9"/>
        <v>-0.32519913808361622</v>
      </c>
      <c r="AV48" s="129">
        <f t="shared" si="9"/>
        <v>2.5024438796371458</v>
      </c>
      <c r="AW48" s="129">
        <f t="shared" si="9"/>
        <v>-0.10782544415512418</v>
      </c>
      <c r="AX48" s="129">
        <f t="shared" si="9"/>
        <v>-1.0871514162913094</v>
      </c>
      <c r="AY48" s="129">
        <f t="shared" si="9"/>
        <v>-3.9309294528324323</v>
      </c>
      <c r="AZ48" s="129">
        <f t="shared" si="9"/>
        <v>2.0724646938734366</v>
      </c>
      <c r="BA48" s="129">
        <f t="shared" si="9"/>
        <v>-3.3422065977215309</v>
      </c>
      <c r="BB48" s="129">
        <f t="shared" si="9"/>
        <v>-2.0592453560740736</v>
      </c>
      <c r="BC48" s="129">
        <f t="shared" si="9"/>
        <v>-1.8379466662706283</v>
      </c>
      <c r="BD48" s="129">
        <f t="shared" si="9"/>
        <v>-1.639107901842753</v>
      </c>
      <c r="BE48" s="129">
        <f t="shared" si="9"/>
        <v>-3.7494105941268909</v>
      </c>
      <c r="BF48" s="129">
        <f t="shared" si="9"/>
        <v>-0.34482141526148641</v>
      </c>
      <c r="BG48" s="129">
        <f t="shared" si="9"/>
        <v>-6.3559624715463794E-2</v>
      </c>
      <c r="BH48" s="129">
        <f t="shared" si="9"/>
        <v>-0.91634329236910428</v>
      </c>
    </row>
    <row r="49" spans="1:4" x14ac:dyDescent="0.25">
      <c r="A49" s="123" t="s">
        <v>571</v>
      </c>
      <c r="B49" s="121"/>
      <c r="D49" s="4"/>
    </row>
  </sheetData>
  <mergeCells count="1">
    <mergeCell ref="A8:D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572</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573</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75" thickBot="1" x14ac:dyDescent="0.3">
      <c r="A13" s="117"/>
      <c r="B13" s="118"/>
      <c r="C13" s="117"/>
      <c r="D13" s="119"/>
      <c r="BF13" s="4"/>
      <c r="BG13" s="4"/>
      <c r="BH13" s="4"/>
    </row>
    <row r="14" spans="1:60" ht="15.75" thickBot="1" x14ac:dyDescent="0.3">
      <c r="A14" s="7" t="s">
        <v>574</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75" thickBot="1" x14ac:dyDescent="0.3">
      <c r="B15" s="121"/>
      <c r="D15" s="4"/>
      <c r="BF15" s="4"/>
      <c r="BG15" s="4"/>
      <c r="BH15" s="4"/>
    </row>
    <row r="16" spans="1:60" ht="15.75" thickBot="1" x14ac:dyDescent="0.3">
      <c r="A16" s="7" t="s">
        <v>514</v>
      </c>
      <c r="B16" s="121"/>
      <c r="D16" s="120">
        <f>'Endett. net + degré d''auto.'!D22</f>
        <v>211406984.43999997</v>
      </c>
      <c r="E16" s="4">
        <f>'Endett. net + degré d''auto.'!E22</f>
        <v>2679156.35</v>
      </c>
      <c r="F16" s="4">
        <f>'Endett. net + degré d''auto.'!F22</f>
        <v>761433.55</v>
      </c>
      <c r="G16" s="4">
        <f>'Endett. net + degré d''auto.'!G22</f>
        <v>1109177.2</v>
      </c>
      <c r="H16" s="4">
        <f>'Endett. net + degré d''auto.'!H22</f>
        <v>1118817.55</v>
      </c>
      <c r="I16" s="4">
        <f>'Endett. net + degré d''auto.'!I22</f>
        <v>8082673</v>
      </c>
      <c r="J16" s="4">
        <f>'Endett. net + degré d''auto.'!J22</f>
        <v>8968083.9499999993</v>
      </c>
      <c r="K16" s="4">
        <f>'Endett. net + degré d''auto.'!K22</f>
        <v>6309847.4500000002</v>
      </c>
      <c r="L16" s="4">
        <f>'Endett. net + degré d''auto.'!L22</f>
        <v>34244003.050000004</v>
      </c>
      <c r="M16" s="4">
        <f>'Endett. net + degré d''auto.'!M22</f>
        <v>3189304.04</v>
      </c>
      <c r="N16" s="4">
        <f>'Endett. net + degré d''auto.'!N22</f>
        <v>0</v>
      </c>
      <c r="O16" s="4">
        <f>'Endett. net + degré d''auto.'!O22</f>
        <v>15819575.6</v>
      </c>
      <c r="P16" s="4">
        <f>'Endett. net + degré d''auto.'!P22</f>
        <v>1337760.75</v>
      </c>
      <c r="Q16" s="4">
        <f>'Endett. net + degré d''auto.'!Q22</f>
        <v>206570.5</v>
      </c>
      <c r="R16" s="4">
        <f>'Endett. net + degré d''auto.'!R22</f>
        <v>1023276.4</v>
      </c>
      <c r="S16" s="4">
        <f>'Endett. net + degré d''auto.'!S22</f>
        <v>773740.7</v>
      </c>
      <c r="T16" s="4">
        <f>'Endett. net + degré d''auto.'!T22</f>
        <v>1796029.05</v>
      </c>
      <c r="U16" s="4">
        <f>'Endett. net + degré d''auto.'!U22</f>
        <v>648470.65</v>
      </c>
      <c r="V16" s="4">
        <f>'Endett. net + degré d''auto.'!V22</f>
        <v>1249422.5999999999</v>
      </c>
      <c r="W16" s="4">
        <f>'Endett. net + degré d''auto.'!W22</f>
        <v>8015454.4500000002</v>
      </c>
      <c r="X16" s="4">
        <f>'Endett. net + degré d''auto.'!X22</f>
        <v>759022</v>
      </c>
      <c r="Y16" s="4">
        <f>'Endett. net + degré d''auto.'!Y22</f>
        <v>3508308.62</v>
      </c>
      <c r="Z16" s="4">
        <f>'Endett. net + degré d''auto.'!Z22</f>
        <v>7040802.8500000015</v>
      </c>
      <c r="AA16" s="4">
        <f>'Endett. net + degré d''auto.'!AA22</f>
        <v>250196</v>
      </c>
      <c r="AB16" s="4">
        <f>'Endett. net + degré d''auto.'!AB22</f>
        <v>317299.59999999998</v>
      </c>
      <c r="AC16" s="4">
        <f>'Endett. net + degré d''auto.'!AC22</f>
        <v>1091034.3500000001</v>
      </c>
      <c r="AD16" s="4">
        <f>'Endett. net + degré d''auto.'!AD22</f>
        <v>1422131.5</v>
      </c>
      <c r="AE16" s="4">
        <f>'Endett. net + degré d''auto.'!AE22</f>
        <v>1312098.05</v>
      </c>
      <c r="AF16" s="4">
        <f>'Endett. net + degré d''auto.'!AF22</f>
        <v>1736762.2</v>
      </c>
      <c r="AG16" s="4">
        <f>'Endett. net + degré d''auto.'!AG22</f>
        <v>5757562.6500000004</v>
      </c>
      <c r="AH16" s="4">
        <f>'Endett. net + degré d''auto.'!AH22</f>
        <v>6969940</v>
      </c>
      <c r="AI16" s="4">
        <f>'Endett. net + degré d''auto.'!AI22</f>
        <v>683290</v>
      </c>
      <c r="AJ16" s="4">
        <f>'Endett. net + degré d''auto.'!AJ22</f>
        <v>303088.05</v>
      </c>
      <c r="AK16" s="4">
        <f>'Endett. net + degré d''auto.'!AK22</f>
        <v>5063974.8499999996</v>
      </c>
      <c r="AL16" s="4">
        <f>'Endett. net + degré d''auto.'!AL22</f>
        <v>2329580</v>
      </c>
      <c r="AM16" s="4">
        <f>'Endett. net + degré d''auto.'!AM22</f>
        <v>3025562.7</v>
      </c>
      <c r="AN16" s="4">
        <f>'Endett. net + degré d''auto.'!AN22</f>
        <v>329489.84999999998</v>
      </c>
      <c r="AO16" s="4">
        <f>'Endett. net + degré d''auto.'!AO22</f>
        <v>4632408.0999999996</v>
      </c>
      <c r="AP16" s="4">
        <f>'Endett. net + degré d''auto.'!AP22</f>
        <v>1812819.3</v>
      </c>
      <c r="AQ16" s="4">
        <f>'Endett. net + degré d''auto.'!AQ22</f>
        <v>1746166</v>
      </c>
      <c r="AR16" s="4">
        <f>'Endett. net + degré d''auto.'!AR22</f>
        <v>3200257.4499999997</v>
      </c>
      <c r="AS16" s="4">
        <f>'Endett. net + degré d''auto.'!AS22</f>
        <v>1654606.9500000002</v>
      </c>
      <c r="AT16" s="4">
        <f>'Endett. net + degré d''auto.'!AT22</f>
        <v>2357594.75</v>
      </c>
      <c r="AU16" s="4">
        <f>'Endett. net + degré d''auto.'!AU22</f>
        <v>2024111.5</v>
      </c>
      <c r="AV16" s="4">
        <f>'Endett. net + degré d''auto.'!AV22</f>
        <v>5125075.43</v>
      </c>
      <c r="AW16" s="4">
        <f>'Endett. net + degré d''auto.'!AW22</f>
        <v>1935955.15</v>
      </c>
      <c r="AX16" s="4">
        <f>'Endett. net + degré d''auto.'!AX22</f>
        <v>487333.4</v>
      </c>
      <c r="AY16" s="4">
        <f>'Endett. net + degré d''auto.'!AY22</f>
        <v>1053328.7</v>
      </c>
      <c r="AZ16" s="4">
        <f>'Endett. net + degré d''auto.'!AZ22</f>
        <v>4972694.55</v>
      </c>
      <c r="BA16" s="4">
        <f>'Endett. net + degré d''auto.'!BA22</f>
        <v>1115545.7</v>
      </c>
      <c r="BB16" s="4">
        <f>'Endett. net + degré d''auto.'!BB22</f>
        <v>3134407.95</v>
      </c>
      <c r="BC16" s="4">
        <f>'Endett. net + degré d''auto.'!BC22</f>
        <v>401054.25</v>
      </c>
      <c r="BD16" s="4">
        <f>'Endett. net + degré d''auto.'!BD22</f>
        <v>22203417.350000001</v>
      </c>
      <c r="BE16" s="4">
        <f>'Endett. net + degré d''auto.'!BE22</f>
        <v>1311077.8</v>
      </c>
      <c r="BF16" s="4">
        <f t="shared" si="1"/>
        <v>97332796.840000018</v>
      </c>
      <c r="BG16" s="4">
        <f t="shared" si="2"/>
        <v>31151535.870000001</v>
      </c>
      <c r="BH16" s="4">
        <f t="shared" si="3"/>
        <v>69916461.730000004</v>
      </c>
    </row>
    <row r="17" spans="1:60" ht="15.75" thickBot="1" x14ac:dyDescent="0.3">
      <c r="A17" s="123"/>
      <c r="B17" s="121"/>
      <c r="D17" s="4"/>
      <c r="BF17" s="4"/>
      <c r="BG17" s="4"/>
      <c r="BH17" s="4"/>
    </row>
    <row r="18" spans="1:60" ht="15.75" thickBot="1" x14ac:dyDescent="0.3">
      <c r="A18" s="7" t="s">
        <v>575</v>
      </c>
      <c r="B18" s="121"/>
      <c r="D18" s="120">
        <f>IF(D16&lt;&gt;0,D14/D16,"")*100</f>
        <v>39.390565472842447</v>
      </c>
      <c r="E18" s="145">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25">
      <c r="A19" s="123" t="s">
        <v>576</v>
      </c>
      <c r="B19" s="121"/>
    </row>
    <row r="20" spans="1:60" x14ac:dyDescent="0.25">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766</v>
      </c>
    </row>
    <row r="8" spans="1:60" ht="18.75" x14ac:dyDescent="0.3">
      <c r="A8" s="220" t="s">
        <v>505</v>
      </c>
      <c r="B8" s="220"/>
      <c r="C8" s="220"/>
      <c r="D8" s="220"/>
    </row>
    <row r="9" spans="1:60" ht="15.75" thickBot="1" x14ac:dyDescent="0.3"/>
    <row r="10" spans="1:60" ht="15.75" thickBot="1" x14ac:dyDescent="0.3">
      <c r="A10" s="221" t="s">
        <v>577</v>
      </c>
      <c r="B10" s="222"/>
      <c r="C10" s="222"/>
      <c r="D10" s="223"/>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7">
        <f>'4.1 Comptes 2020 natures'!E2</f>
        <v>923</v>
      </c>
      <c r="F11" s="147">
        <f>'4.1 Comptes 2020 natures'!F2</f>
        <v>270</v>
      </c>
      <c r="G11" s="147">
        <f>'4.1 Comptes 2020 natures'!G2</f>
        <v>485</v>
      </c>
      <c r="H11" s="147">
        <f>'4.1 Comptes 2020 natures'!H2</f>
        <v>446</v>
      </c>
      <c r="I11" s="147">
        <f>'4.1 Comptes 2020 natures'!I2</f>
        <v>3631</v>
      </c>
      <c r="J11" s="147">
        <f>'4.1 Comptes 2020 natures'!J2</f>
        <v>3313</v>
      </c>
      <c r="K11" s="147">
        <f>'4.1 Comptes 2020 natures'!K2</f>
        <v>2644</v>
      </c>
      <c r="L11" s="148">
        <f>'4.1 Comptes 2020 natures'!L2</f>
        <v>12618</v>
      </c>
      <c r="M11" s="148">
        <f>'4.1 Comptes 2020 natures'!M2</f>
        <v>1371</v>
      </c>
      <c r="N11" s="148">
        <f>'4.1 Comptes 2020 natures'!N2</f>
        <v>118</v>
      </c>
      <c r="O11" s="148">
        <f>'4.1 Comptes 2020 natures'!O2</f>
        <v>7167</v>
      </c>
      <c r="P11" s="148">
        <f>'4.1 Comptes 2020 natures'!P2</f>
        <v>528</v>
      </c>
      <c r="Q11" s="148">
        <f>'4.1 Comptes 2020 natures'!Q2</f>
        <v>108</v>
      </c>
      <c r="R11" s="148">
        <f>'4.1 Comptes 2020 natures'!R2</f>
        <v>415</v>
      </c>
      <c r="S11" s="148">
        <f>'4.1 Comptes 2020 natures'!S2</f>
        <v>349</v>
      </c>
      <c r="T11" s="148">
        <f>'4.1 Comptes 2020 natures'!T2</f>
        <v>687</v>
      </c>
      <c r="U11" s="148">
        <f>'4.1 Comptes 2020 natures'!U2</f>
        <v>255</v>
      </c>
      <c r="V11" s="148">
        <f>'4.1 Comptes 2020 natures'!V2</f>
        <v>436</v>
      </c>
      <c r="W11" s="148">
        <f>'4.1 Comptes 2020 natures'!W2</f>
        <v>3190</v>
      </c>
      <c r="X11" s="149">
        <f>'4.1 Comptes 2020 natures'!X2</f>
        <v>324</v>
      </c>
      <c r="Y11" s="149">
        <f>'4.1 Comptes 2020 natures'!Y2</f>
        <v>1246</v>
      </c>
      <c r="Z11" s="149">
        <f>'4.1 Comptes 2020 natures'!Z2</f>
        <v>1528</v>
      </c>
      <c r="AA11" s="149">
        <f>'4.1 Comptes 2020 natures'!AA2</f>
        <v>96</v>
      </c>
      <c r="AB11" s="149">
        <f>'4.1 Comptes 2020 natures'!AB2</f>
        <v>149</v>
      </c>
      <c r="AC11" s="149">
        <f>'4.1 Comptes 2020 natures'!AC2</f>
        <v>516</v>
      </c>
      <c r="AD11" s="149">
        <f>'4.1 Comptes 2020 natures'!AD2</f>
        <v>671</v>
      </c>
      <c r="AE11" s="149">
        <f>'4.1 Comptes 2020 natures'!AE2</f>
        <v>572</v>
      </c>
      <c r="AF11" s="149">
        <f>'4.1 Comptes 2020 natures'!AF2</f>
        <v>490</v>
      </c>
      <c r="AG11" s="149">
        <f>'4.1 Comptes 2020 natures'!AG2</f>
        <v>1914</v>
      </c>
      <c r="AH11" s="149">
        <f>'4.1 Comptes 2020 natures'!AH2</f>
        <v>2615</v>
      </c>
      <c r="AI11" s="149">
        <f>'4.1 Comptes 2020 natures'!AI2</f>
        <v>227</v>
      </c>
      <c r="AJ11" s="149">
        <f>'4.1 Comptes 2020 natures'!AJ2</f>
        <v>131</v>
      </c>
      <c r="AK11" s="150">
        <f>'4.1 Comptes 2020 natures'!AK2</f>
        <v>1895</v>
      </c>
      <c r="AL11" s="150">
        <f>'4.1 Comptes 2020 natures'!AL2</f>
        <v>1135</v>
      </c>
      <c r="AM11" s="150">
        <f>'4.1 Comptes 2020 natures'!AM2</f>
        <v>1241</v>
      </c>
      <c r="AN11" s="150">
        <f>'4.1 Comptes 2020 natures'!AN2</f>
        <v>119</v>
      </c>
      <c r="AO11" s="150">
        <f>'4.1 Comptes 2020 natures'!AO2</f>
        <v>1195</v>
      </c>
      <c r="AP11" s="150">
        <f>'4.1 Comptes 2020 natures'!AP2</f>
        <v>663</v>
      </c>
      <c r="AQ11" s="150">
        <f>'4.1 Comptes 2020 natures'!AQ2</f>
        <v>645</v>
      </c>
      <c r="AR11" s="150">
        <f>'4.1 Comptes 2020 natures'!AR2</f>
        <v>1263</v>
      </c>
      <c r="AS11" s="150">
        <f>'4.1 Comptes 2020 natures'!AS2</f>
        <v>740</v>
      </c>
      <c r="AT11" s="150">
        <f>'4.1 Comptes 2020 natures'!AT2</f>
        <v>1028</v>
      </c>
      <c r="AU11" s="150">
        <f>'4.1 Comptes 2020 natures'!AU2</f>
        <v>314</v>
      </c>
      <c r="AV11" s="150">
        <f>'4.1 Comptes 2020 natures'!AV2</f>
        <v>2400</v>
      </c>
      <c r="AW11" s="150">
        <f>'4.1 Comptes 2020 natures'!AW2</f>
        <v>755</v>
      </c>
      <c r="AX11" s="150">
        <f>'4.1 Comptes 2020 natures'!AX2</f>
        <v>181</v>
      </c>
      <c r="AY11" s="150">
        <f>'4.1 Comptes 2020 natures'!AY2</f>
        <v>347</v>
      </c>
      <c r="AZ11" s="150">
        <f>'4.1 Comptes 2020 natures'!AZ2</f>
        <v>1690</v>
      </c>
      <c r="BA11" s="150">
        <f>'4.1 Comptes 2020 natures'!BA2</f>
        <v>387</v>
      </c>
      <c r="BB11" s="150">
        <f>'4.1 Comptes 2020 natures'!BB2</f>
        <v>1096</v>
      </c>
      <c r="BC11" s="151">
        <f>'4.1 Comptes 2020 natures'!BC2</f>
        <v>188</v>
      </c>
      <c r="BD11" s="151">
        <f>'4.1 Comptes 2020 natures'!BD2</f>
        <v>6434</v>
      </c>
      <c r="BE11" s="150">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578</v>
      </c>
      <c r="D15" s="131">
        <f>'Quotité d''intéret + revenus det'!D36</f>
        <v>538714835.06000006</v>
      </c>
      <c r="E15" s="4">
        <f>'Quotité d''intéret + revenus det'!E36</f>
        <v>7362387.0700000003</v>
      </c>
      <c r="F15" s="4">
        <f>'Quotité d''intéret + revenus det'!F36</f>
        <v>1694059.85</v>
      </c>
      <c r="G15" s="4">
        <f>'Quotité d''intéret + revenus det'!G36</f>
        <v>5594890.2999999998</v>
      </c>
      <c r="H15" s="4">
        <f>'Quotité d''intéret + revenus det'!H36</f>
        <v>4325953.6500000004</v>
      </c>
      <c r="I15" s="4">
        <f>'Quotité d''intéret + revenus det'!I36</f>
        <v>22913378</v>
      </c>
      <c r="J15" s="4">
        <f>'Quotité d''intéret + revenus det'!J36</f>
        <v>20840155.5</v>
      </c>
      <c r="K15" s="4">
        <f>'Quotité d''intéret + revenus det'!K36</f>
        <v>6817290.6900000004</v>
      </c>
      <c r="L15" s="4">
        <f>'Quotité d''intéret + revenus det'!L36</f>
        <v>119224424.16999999</v>
      </c>
      <c r="M15" s="4">
        <f>'Quotité d''intéret + revenus det'!M36</f>
        <v>5654444.4800000004</v>
      </c>
      <c r="N15" s="4">
        <f>'Quotité d''intéret + revenus det'!N36</f>
        <v>0</v>
      </c>
      <c r="O15" s="4">
        <f>'Quotité d''intéret + revenus det'!O36</f>
        <v>38037365.759999998</v>
      </c>
      <c r="P15" s="4">
        <f>'Quotité d''intéret + revenus det'!P36</f>
        <v>3153128.1900000004</v>
      </c>
      <c r="Q15" s="4">
        <f>'Quotité d''intéret + revenus det'!Q36</f>
        <v>536394.25</v>
      </c>
      <c r="R15" s="4">
        <f>'Quotité d''intéret + revenus det'!R36</f>
        <v>3313530.66</v>
      </c>
      <c r="S15" s="4">
        <f>'Quotité d''intéret + revenus det'!S36</f>
        <v>4204776.53</v>
      </c>
      <c r="T15" s="4">
        <f>'Quotité d''intéret + revenus det'!T36</f>
        <v>5505378.5700000003</v>
      </c>
      <c r="U15" s="4">
        <f>'Quotité d''intéret + revenus det'!U36</f>
        <v>653720.47</v>
      </c>
      <c r="V15" s="4">
        <f>'Quotité d''intéret + revenus det'!V36</f>
        <v>2744898.29</v>
      </c>
      <c r="W15" s="4">
        <f>'Quotité d''intéret + revenus det'!W36</f>
        <v>14833017.120000001</v>
      </c>
      <c r="X15" s="4">
        <f>'Quotité d''intéret + revenus det'!X36</f>
        <v>567706</v>
      </c>
      <c r="Y15" s="4">
        <f>'Quotité d''intéret + revenus det'!Y36</f>
        <v>12076989.98</v>
      </c>
      <c r="Z15" s="4">
        <f>'Quotité d''intéret + revenus det'!Z36</f>
        <v>8118224.96</v>
      </c>
      <c r="AA15" s="4">
        <f>'Quotité d''intéret + revenus det'!AA36</f>
        <v>644147</v>
      </c>
      <c r="AB15" s="4">
        <f>'Quotité d''intéret + revenus det'!AB36</f>
        <v>1231444.1299999999</v>
      </c>
      <c r="AC15" s="4">
        <f>'Quotité d''intéret + revenus det'!AC36</f>
        <v>3067383.23</v>
      </c>
      <c r="AD15" s="4">
        <f>'Quotité d''intéret + revenus det'!AD36</f>
        <v>7698969.8399999999</v>
      </c>
      <c r="AE15" s="4">
        <f>'Quotité d''intéret + revenus det'!AE36</f>
        <v>3837428.94</v>
      </c>
      <c r="AF15" s="4">
        <f>'Quotité d''intéret + revenus det'!AF36</f>
        <v>1162741.5</v>
      </c>
      <c r="AG15" s="4">
        <f>'Quotité d''intéret + revenus det'!AG36</f>
        <v>7078615.3899999997</v>
      </c>
      <c r="AH15" s="4">
        <f>'Quotité d''intéret + revenus det'!AH36</f>
        <v>19272498</v>
      </c>
      <c r="AI15" s="4">
        <f>'Quotité d''intéret + revenus det'!AI36</f>
        <v>885057.5</v>
      </c>
      <c r="AJ15" s="4">
        <f>'Quotité d''intéret + revenus det'!AJ36</f>
        <v>719026.05</v>
      </c>
      <c r="AK15" s="4">
        <f>'Quotité d''intéret + revenus det'!AK36</f>
        <v>17180810.02</v>
      </c>
      <c r="AL15" s="4">
        <f>'Quotité d''intéret + revenus det'!AL36</f>
        <v>6479125</v>
      </c>
      <c r="AM15" s="4">
        <f>'Quotité d''intéret + revenus det'!AM36</f>
        <v>11423868.66</v>
      </c>
      <c r="AN15" s="4">
        <f>'Quotité d''intéret + revenus det'!AN36</f>
        <v>1630726.94</v>
      </c>
      <c r="AO15" s="4">
        <f>'Quotité d''intéret + revenus det'!AO36</f>
        <v>10097839.1</v>
      </c>
      <c r="AP15" s="4">
        <f>'Quotité d''intéret + revenus det'!AP36</f>
        <v>5139011.8899999997</v>
      </c>
      <c r="AQ15" s="4">
        <f>'Quotité d''intéret + revenus det'!AQ36</f>
        <v>4438993</v>
      </c>
      <c r="AR15" s="4">
        <f>'Quotité d''intéret + revenus det'!AR36</f>
        <v>9360629.9800000004</v>
      </c>
      <c r="AS15" s="4">
        <f>'Quotité d''intéret + revenus det'!AS36</f>
        <v>5509464.75</v>
      </c>
      <c r="AT15" s="4">
        <f>'Quotité d''intéret + revenus det'!AT36</f>
        <v>8021556.3700000001</v>
      </c>
      <c r="AU15" s="4">
        <f>'Quotité d''intéret + revenus det'!AU36</f>
        <v>1892447.1</v>
      </c>
      <c r="AV15" s="4">
        <f>'Quotité d''intéret + revenus det'!AV36</f>
        <v>13884615.460000001</v>
      </c>
      <c r="AW15" s="4">
        <f>'Quotité d''intéret + revenus det'!AW36</f>
        <v>5721798.2999999998</v>
      </c>
      <c r="AX15" s="4">
        <f>'Quotité d''intéret + revenus det'!AX36</f>
        <v>827166.2</v>
      </c>
      <c r="AY15" s="4">
        <f>'Quotité d''intéret + revenus det'!AY36</f>
        <v>2006984.94</v>
      </c>
      <c r="AZ15" s="4">
        <f>'Quotité d''intéret + revenus det'!AZ36</f>
        <v>20555588.629999999</v>
      </c>
      <c r="BA15" s="4">
        <f>'Quotité d''intéret + revenus det'!BA36</f>
        <v>1211925.51</v>
      </c>
      <c r="BB15" s="4">
        <f>'Quotité d''intéret + revenus det'!BB36</f>
        <v>10224980.140000001</v>
      </c>
      <c r="BC15" s="4">
        <f>'Quotité d''intéret + revenus det'!BC36</f>
        <v>206289.58000000002</v>
      </c>
      <c r="BD15" s="4">
        <f>'Quotité d''intéret + revenus det'!BD36</f>
        <v>64703530.620000005</v>
      </c>
      <c r="BE15" s="4">
        <f>'Quotité d''intéret + revenus det'!BE36</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'Endett. net + degré d''auto.'!D15</f>
        <v>247940459.12999958</v>
      </c>
      <c r="E17" s="4">
        <f>'Endett. net + degré d''auto.'!E15</f>
        <v>1981542.2999999998</v>
      </c>
      <c r="F17" s="4">
        <f>'Endett. net + degré d''auto.'!F15</f>
        <v>347500.05000000005</v>
      </c>
      <c r="G17" s="4">
        <f>'Endett. net + degré d''auto.'!G15</f>
        <v>2113085.3899999997</v>
      </c>
      <c r="H17" s="4">
        <f>'Endett. net + degré d''auto.'!H15</f>
        <v>333820.88000000082</v>
      </c>
      <c r="I17" s="4">
        <f>'Endett. net + degré d''auto.'!I15</f>
        <v>11170167</v>
      </c>
      <c r="J17" s="4">
        <f>'Endett. net + degré d''auto.'!J15</f>
        <v>13112482.930000002</v>
      </c>
      <c r="K17" s="4">
        <f>'Endett. net + degré d''auto.'!K15</f>
        <v>1024849.9699999988</v>
      </c>
      <c r="L17" s="4">
        <f>'Endett. net + degré d''auto.'!L15</f>
        <v>70522811.370000005</v>
      </c>
      <c r="M17" s="4">
        <f>'Endett. net + degré d''auto.'!M15</f>
        <v>2124903.9499999997</v>
      </c>
      <c r="N17" s="4">
        <f>'Endett. net + degré d''auto.'!N15</f>
        <v>0</v>
      </c>
      <c r="O17" s="4">
        <f>'Endett. net + degré d''auto.'!O15</f>
        <v>21593781.700000003</v>
      </c>
      <c r="P17" s="4">
        <f>'Endett. net + degré d''auto.'!P15</f>
        <v>1367293.8899999997</v>
      </c>
      <c r="Q17" s="4">
        <f>'Endett. net + degré d''auto.'!Q15</f>
        <v>245034.5</v>
      </c>
      <c r="R17" s="4">
        <f>'Endett. net + degré d''auto.'!R15</f>
        <v>1875498.62</v>
      </c>
      <c r="S17" s="4">
        <f>'Endett. net + degré d''auto.'!S15</f>
        <v>2154227.6300000004</v>
      </c>
      <c r="T17" s="4">
        <f>'Endett. net + degré d''auto.'!T15</f>
        <v>212642.52999999933</v>
      </c>
      <c r="U17" s="4">
        <f>'Endett. net + degré d''auto.'!U15</f>
        <v>292787.20999999985</v>
      </c>
      <c r="V17" s="4">
        <f>'Endett. net + degré d''auto.'!V15</f>
        <v>439211.70000000019</v>
      </c>
      <c r="W17" s="4">
        <f>'Endett. net + degré d''auto.'!W15</f>
        <v>10418227.84</v>
      </c>
      <c r="X17" s="4">
        <f>'Endett. net + degré d''auto.'!X15</f>
        <v>-1080510</v>
      </c>
      <c r="Y17" s="4">
        <f>'Endett. net + degré d''auto.'!Y15</f>
        <v>7786577.9200000009</v>
      </c>
      <c r="Z17" s="4">
        <f>'Endett. net + degré d''auto.'!Z15</f>
        <v>-8985276.8900000006</v>
      </c>
      <c r="AA17" s="4">
        <f>'Endett. net + degré d''auto.'!AA15</f>
        <v>135991</v>
      </c>
      <c r="AB17" s="4">
        <f>'Endett. net + degré d''auto.'!AB15</f>
        <v>159244.26</v>
      </c>
      <c r="AC17" s="4">
        <f>'Endett. net + degré d''auto.'!AC15</f>
        <v>261711.14999999991</v>
      </c>
      <c r="AD17" s="4">
        <f>'Endett. net + degré d''auto.'!AD15</f>
        <v>6603345.2300000004</v>
      </c>
      <c r="AE17" s="4">
        <f>'Endett. net + degré d''auto.'!AE15</f>
        <v>1285721.0299999998</v>
      </c>
      <c r="AF17" s="4">
        <f>'Endett. net + degré d''auto.'!AF15</f>
        <v>-3100962.9499999997</v>
      </c>
      <c r="AG17" s="4">
        <f>'Endett. net + degré d''auto.'!AG15</f>
        <v>-1077667.79</v>
      </c>
      <c r="AH17" s="4">
        <f>'Endett. net + degré d''auto.'!AH15</f>
        <v>10187147</v>
      </c>
      <c r="AI17" s="4">
        <f>'Endett. net + degré d''auto.'!AI15</f>
        <v>122013</v>
      </c>
      <c r="AJ17" s="4">
        <f>'Endett. net + degré d''auto.'!AJ15</f>
        <v>-1131039.05</v>
      </c>
      <c r="AK17" s="4">
        <f>'Endett. net + degré d''auto.'!AK15</f>
        <v>11365852.559999999</v>
      </c>
      <c r="AL17" s="4">
        <f>'Endett. net + degré d''auto.'!AL15</f>
        <v>-3382369</v>
      </c>
      <c r="AM17" s="4">
        <f>'Endett. net + degré d''auto.'!AM15</f>
        <v>6847039.9500000002</v>
      </c>
      <c r="AN17" s="4">
        <f>'Endett. net + degré d''auto.'!AN15</f>
        <v>-517907.81999999995</v>
      </c>
      <c r="AO17" s="4">
        <f>'Endett. net + degré d''auto.'!AO15</f>
        <v>-3843093.0299999993</v>
      </c>
      <c r="AP17" s="4">
        <f>'Endett. net + degré d''auto.'!AP15</f>
        <v>1459848.7399999998</v>
      </c>
      <c r="AQ17" s="4">
        <f>'Endett. net + degré d''auto.'!AQ15</f>
        <v>928102</v>
      </c>
      <c r="AR17" s="4">
        <f>'Endett. net + degré d''auto.'!AR15</f>
        <v>-2020851.1899999995</v>
      </c>
      <c r="AS17" s="4">
        <f>'Endett. net + degré d''auto.'!AS15</f>
        <v>3139351.8900000006</v>
      </c>
      <c r="AT17" s="4">
        <f>'Endett. net + degré d''auto.'!AT15</f>
        <v>5090106.17</v>
      </c>
      <c r="AU17" s="4">
        <f>'Endett. net + degré d''auto.'!AU15</f>
        <v>-1809164.0300000003</v>
      </c>
      <c r="AV17" s="4">
        <f>'Endett. net + degré d''auto.'!AV15</f>
        <v>9800475.9100000001</v>
      </c>
      <c r="AW17" s="4">
        <f>'Endett. net + degré d''auto.'!AW15</f>
        <v>2942305.27</v>
      </c>
      <c r="AX17" s="4">
        <f>'Endett. net + degré d''auto.'!AX15</f>
        <v>303302.40000000002</v>
      </c>
      <c r="AY17" s="4">
        <f>'Endett. net + degré d''auto.'!AY15</f>
        <v>62364.760000000009</v>
      </c>
      <c r="AZ17" s="4">
        <f>'Endett. net + degré d''auto.'!AZ15</f>
        <v>16734582.77</v>
      </c>
      <c r="BA17" s="4">
        <f>'Endett. net + degré d''auto.'!BA15</f>
        <v>-420378.84000000008</v>
      </c>
      <c r="BB17" s="4">
        <f>'Endett. net + degré d''auto.'!BB15</f>
        <v>6329522.8200000003</v>
      </c>
      <c r="BC17" s="4">
        <f>'Endett. net + degré d''auto.'!BC15</f>
        <v>-570550.06000000006</v>
      </c>
      <c r="BD17" s="4">
        <f>'Endett. net + degré d''auto.'!BD15</f>
        <v>40863227.879999995</v>
      </c>
      <c r="BE17" s="4">
        <f>'Endett. net + degré d''auto.'!BE15</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'Endett. net + degré d''auto.'!D24</f>
        <v>117.28111054929138</v>
      </c>
      <c r="E19" s="4">
        <f>'Endett. net + degré d''auto.'!E24</f>
        <v>73.961428193617735</v>
      </c>
      <c r="F19" s="4">
        <f>'Endett. net + degré d''auto.'!F24</f>
        <v>45.637606853546188</v>
      </c>
      <c r="G19" s="4">
        <f>'Endett. net + degré d''auto.'!G24</f>
        <v>190.50927029513406</v>
      </c>
      <c r="H19" s="4">
        <f>'Endett. net + degré d''auto.'!H24</f>
        <v>29.836936326213404</v>
      </c>
      <c r="I19" s="4">
        <f>'Endett. net + degré d''auto.'!I24</f>
        <v>138.19892255940579</v>
      </c>
      <c r="J19" s="4">
        <f>'Endett. net + degré d''auto.'!J24</f>
        <v>146.21275852351943</v>
      </c>
      <c r="K19" s="4">
        <f>'Endett. net + degré d''auto.'!K24</f>
        <v>16.242072064674066</v>
      </c>
      <c r="L19" s="4">
        <f>'Endett. net + degré d''auto.'!L24</f>
        <v>205.94207770344184</v>
      </c>
      <c r="M19" s="4">
        <f>'Endett. net + degré d''auto.'!M24</f>
        <v>66.625944825254095</v>
      </c>
      <c r="N19" s="4" t="e">
        <f>'Endett. net + degré d''auto.'!N24</f>
        <v>#VALUE!</v>
      </c>
      <c r="O19" s="4">
        <f>'Endett. net + degré d''auto.'!O24</f>
        <v>136.50038563613555</v>
      </c>
      <c r="P19" s="4">
        <f>'Endett. net + degré d''auto.'!P24</f>
        <v>102.20765484411167</v>
      </c>
      <c r="Q19" s="4">
        <f>'Endett. net + degré d''auto.'!Q24</f>
        <v>118.62027733872939</v>
      </c>
      <c r="R19" s="4">
        <f>'Endett. net + degré d''auto.'!R24</f>
        <v>183.28367780200932</v>
      </c>
      <c r="S19" s="4">
        <f>'Endett. net + degré d''auto.'!S24</f>
        <v>278.41725658221168</v>
      </c>
      <c r="T19" s="4">
        <f>'Endett. net + degré d''auto.'!T24</f>
        <v>11.839593017718689</v>
      </c>
      <c r="U19" s="4">
        <f>'Endett. net + degré d''auto.'!U24</f>
        <v>45.150418141514933</v>
      </c>
      <c r="V19" s="4">
        <f>'Endett. net + degré d''auto.'!V24</f>
        <v>35.153173954112901</v>
      </c>
      <c r="W19" s="4">
        <f>'Endett. net + degré d''auto.'!W24</f>
        <v>129.97675808637399</v>
      </c>
      <c r="X19" s="4">
        <f>'Endett. net + degré d''auto.'!X24</f>
        <v>-142.35555754642158</v>
      </c>
      <c r="Y19" s="4">
        <f>'Endett. net + degré d''auto.'!Y24</f>
        <v>221.94677730489971</v>
      </c>
      <c r="Z19" s="4">
        <f>'Endett. net + degré d''auto.'!Z24</f>
        <v>-127.61722038559849</v>
      </c>
      <c r="AA19" s="4">
        <f>'Endett. net + degré d''auto.'!AA24</f>
        <v>54.353786631281075</v>
      </c>
      <c r="AB19" s="4">
        <f>'Endett. net + degré d''auto.'!AB24</f>
        <v>50.187349747683271</v>
      </c>
      <c r="AC19" s="4">
        <f>'Endett. net + degré d''auto.'!AC24</f>
        <v>23.987434492782</v>
      </c>
      <c r="AD19" s="4">
        <f>'Endett. net + degré d''auto.'!AD24</f>
        <v>464.32733048948006</v>
      </c>
      <c r="AE19" s="4">
        <f>'Endett. net + degré d''auto.'!AE24</f>
        <v>97.989706638158609</v>
      </c>
      <c r="AF19" s="4">
        <f>'Endett. net + degré d''auto.'!AF24</f>
        <v>-178.54850537396541</v>
      </c>
      <c r="AG19" s="4">
        <f>'Endett. net + degré d''auto.'!AG24</f>
        <v>-18.717430543287268</v>
      </c>
      <c r="AH19" s="4">
        <f>'Endett. net + degré d''auto.'!AH24</f>
        <v>146.15831700129414</v>
      </c>
      <c r="AI19" s="4">
        <f>'Endett. net + degré d''auto.'!AI24</f>
        <v>17.856693351285692</v>
      </c>
      <c r="AJ19" s="4">
        <f>'Endett. net + degré d''auto.'!AJ24</f>
        <v>-373.17177302107427</v>
      </c>
      <c r="AK19" s="4">
        <f>'Endett. net + degré d''auto.'!AK24</f>
        <v>224.44528056848463</v>
      </c>
      <c r="AL19" s="4">
        <f>'Endett. net + degré d''auto.'!AL24</f>
        <v>-145.19222349092971</v>
      </c>
      <c r="AM19" s="4">
        <f>'Endett. net + degré d''auto.'!AM24</f>
        <v>226.3063313809362</v>
      </c>
      <c r="AN19" s="4">
        <f>'Endett. net + degré d''auto.'!AN24</f>
        <v>-157.18475698113309</v>
      </c>
      <c r="AO19" s="4">
        <f>'Endett. net + degré d''auto.'!AO24</f>
        <v>-82.961020424776464</v>
      </c>
      <c r="AP19" s="4">
        <f>'Endett. net + degré d''auto.'!AP24</f>
        <v>80.529192291807561</v>
      </c>
      <c r="AQ19" s="4">
        <f>'Endett. net + degré d''auto.'!AQ24</f>
        <v>53.150845910411725</v>
      </c>
      <c r="AR19" s="4">
        <f>'Endett. net + degré d''auto.'!AR24</f>
        <v>-63.146519352685196</v>
      </c>
      <c r="AS19" s="4">
        <f>'Endett. net + degré d''auto.'!AS24</f>
        <v>189.73399634275683</v>
      </c>
      <c r="AT19" s="4">
        <f>'Endett. net + degré d''auto.'!AT24</f>
        <v>215.90250699362136</v>
      </c>
      <c r="AU19" s="4">
        <f>'Endett. net + degré d''auto.'!AU24</f>
        <v>-89.380650720081391</v>
      </c>
      <c r="AV19" s="4">
        <f>'Endett. net + degré d''auto.'!AV24</f>
        <v>191.22598377054521</v>
      </c>
      <c r="AW19" s="4">
        <f>'Endett. net + degré d''auto.'!AW24</f>
        <v>151.98209886215599</v>
      </c>
      <c r="AX19" s="4">
        <f>'Endett. net + degré d''auto.'!AX24</f>
        <v>62.237146068789869</v>
      </c>
      <c r="AY19" s="4">
        <f>'Endett. net + degré d''auto.'!AY24</f>
        <v>5.920731107013415</v>
      </c>
      <c r="AZ19" s="4">
        <f>'Endett. net + degré d''auto.'!AZ24</f>
        <v>336.5294731404727</v>
      </c>
      <c r="BA19" s="4">
        <f>'Endett. net + degré d''auto.'!BA24</f>
        <v>-37.683695074078997</v>
      </c>
      <c r="BB19" s="4">
        <f>'Endett. net + degré d''auto.'!BB24</f>
        <v>201.93679064653983</v>
      </c>
      <c r="BC19" s="4">
        <f>'Endett. net + degré d''auto.'!BC24</f>
        <v>-142.26256422915355</v>
      </c>
      <c r="BD19" s="4">
        <f>'Endett. net + degré d''auto.'!BD24</f>
        <v>184.04026387406529</v>
      </c>
      <c r="BE19" s="4">
        <f>'Endett. net + degré d''auto.'!BE24</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558</v>
      </c>
      <c r="D24" s="131">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579</v>
      </c>
      <c r="D26" s="131">
        <f>'Endett. net + degré d''auto.'!D48</f>
        <v>87.460441613465107</v>
      </c>
      <c r="E26" s="4">
        <f>'Endett. net + degré d''auto.'!E48</f>
        <v>140.17718914924001</v>
      </c>
      <c r="F26" s="4">
        <f>'Endett. net + degré d''auto.'!F48</f>
        <v>-96.059968607376661</v>
      </c>
      <c r="G26" s="4">
        <f>'Endett. net + degré d''auto.'!G48</f>
        <v>-3.6425543403056899</v>
      </c>
      <c r="H26" s="4">
        <f>'Endett. net + degré d''auto.'!H48</f>
        <v>-256.5750409968482</v>
      </c>
      <c r="I26" s="4">
        <f>'Endett. net + degré d''auto.'!I48</f>
        <v>7.7284310875680804E-3</v>
      </c>
      <c r="J26" s="4">
        <f>'Endett. net + degré d''auto.'!J48</f>
        <v>122.73924254567692</v>
      </c>
      <c r="K26" s="4">
        <f>'Endett. net + degré d''auto.'!K48</f>
        <v>38.449889242193898</v>
      </c>
      <c r="L26" s="4">
        <f>'Endett. net + degré d''auto.'!L48</f>
        <v>14.795729268374016</v>
      </c>
      <c r="M26" s="4">
        <f>'Endett. net + degré d''auto.'!M48</f>
        <v>24.410668281676422</v>
      </c>
      <c r="N26" s="4">
        <f>'Endett. net + degré d''auto.'!N48</f>
        <v>0</v>
      </c>
      <c r="O26" s="4">
        <f>'Endett. net + degré d''auto.'!O48</f>
        <v>-22.938461812471182</v>
      </c>
      <c r="P26" s="4">
        <f>'Endett. net + degré d''auto.'!P48</f>
        <v>212.77739647309096</v>
      </c>
      <c r="Q26" s="4" t="e">
        <f>'Endett. net + degré d''auto.'!Q48</f>
        <v>#VALUE!</v>
      </c>
      <c r="R26" s="4">
        <f>'Endett. net + degré d''auto.'!R48</f>
        <v>407.68572151258377</v>
      </c>
      <c r="S26" s="4">
        <f>'Endett. net + degré d''auto.'!S48</f>
        <v>31.814809558932168</v>
      </c>
      <c r="T26" s="4">
        <f>'Endett. net + degré d''auto.'!T48</f>
        <v>83.4427782912108</v>
      </c>
      <c r="U26" s="4">
        <f>'Endett. net + degré d''auto.'!U48</f>
        <v>47.505585361034697</v>
      </c>
      <c r="V26" s="4">
        <f>'Endett. net + degré d''auto.'!V48</f>
        <v>4.19245328729885</v>
      </c>
      <c r="W26" s="4">
        <f>'Endett. net + degré d''auto.'!W48</f>
        <v>339.18918889748409</v>
      </c>
      <c r="X26" s="4">
        <f>'Endett. net + degré d''auto.'!X48</f>
        <v>230.41598332376464</v>
      </c>
      <c r="Y26" s="4">
        <f>'Endett. net + degré d''auto.'!Y48</f>
        <v>-29.73231745424485</v>
      </c>
      <c r="Z26" s="4">
        <f>'Endett. net + degré d''auto.'!Z48</f>
        <v>717.38927807521566</v>
      </c>
      <c r="AA26" s="4" t="e">
        <f>'Endett. net + degré d''auto.'!AA48</f>
        <v>#VALUE!</v>
      </c>
      <c r="AB26" s="4">
        <f>'Endett. net + degré d''auto.'!AB48</f>
        <v>10.222555383233022</v>
      </c>
      <c r="AC26" s="4">
        <f>'Endett. net + degré d''auto.'!AC48</f>
        <v>-300.3563707920141</v>
      </c>
      <c r="AD26" s="4">
        <f>'Endett. net + degré d''auto.'!AD48</f>
        <v>-171.4140064078731</v>
      </c>
      <c r="AE26" s="4">
        <f>'Endett. net + degré d''auto.'!AE48</f>
        <v>-122.31087174968694</v>
      </c>
      <c r="AF26" s="4">
        <f>'Endett. net + degré d''auto.'!AF48</f>
        <v>179.59152175066228</v>
      </c>
      <c r="AG26" s="4">
        <f>'Endett. net + degré d''auto.'!AG48</f>
        <v>329.4671677507875</v>
      </c>
      <c r="AH26" s="4">
        <f>'Endett. net + degré d''auto.'!AH48</f>
        <v>-688.72123941170355</v>
      </c>
      <c r="AI26" s="4" t="e">
        <f>'Endett. net + degré d''auto.'!AI48</f>
        <v>#VALUE!</v>
      </c>
      <c r="AJ26" s="4" t="e">
        <f>'Endett. net + degré d''auto.'!AJ48</f>
        <v>#VALUE!</v>
      </c>
      <c r="AK26" s="4">
        <f>'Endett. net + degré d''auto.'!AK48</f>
        <v>3.9731846247777045</v>
      </c>
      <c r="AL26" s="4">
        <f>'Endett. net + degré d''auto.'!AL48</f>
        <v>93.928103351432313</v>
      </c>
      <c r="AM26" s="4">
        <f>'Endett. net + degré d''auto.'!AM48</f>
        <v>31.893118825105255</v>
      </c>
      <c r="AN26" s="4">
        <f>'Endett. net + degré d''auto.'!AN48</f>
        <v>6.0315413129004867</v>
      </c>
      <c r="AO26" s="4">
        <f>'Endett. net + degré d''auto.'!AO48</f>
        <v>76.759257577013187</v>
      </c>
      <c r="AP26" s="4">
        <f>'Endett. net + degré d''auto.'!AP48</f>
        <v>295.18585085408137</v>
      </c>
      <c r="AQ26" s="4">
        <f>'Endett. net + degré d''auto.'!AQ48</f>
        <v>764.21377084809114</v>
      </c>
      <c r="AR26" s="4">
        <f>'Endett. net + degré d''auto.'!AR48</f>
        <v>202.6221857527712</v>
      </c>
      <c r="AS26" s="4">
        <f>'Endett. net + degré d''auto.'!AS48</f>
        <v>1025.5665178571428</v>
      </c>
      <c r="AT26" s="4">
        <f>'Endett. net + degré d''auto.'!AT48</f>
        <v>54.706402173486403</v>
      </c>
      <c r="AU26" s="4">
        <f>'Endett. net + degré d''auto.'!AU48</f>
        <v>706.85029437158619</v>
      </c>
      <c r="AV26" s="4">
        <f>'Endett. net + degré d''auto.'!AV48</f>
        <v>-134.50563512642054</v>
      </c>
      <c r="AW26" s="4">
        <f>'Endett. net + degré d''auto.'!AW48</f>
        <v>84.583965187578301</v>
      </c>
      <c r="AX26" s="4" t="e">
        <f>'Endett. net + degré d''auto.'!AX48</f>
        <v>#VALUE!</v>
      </c>
      <c r="AY26" s="4" t="e">
        <f>'Endett. net + degré d''auto.'!AY48</f>
        <v>#VALUE!</v>
      </c>
      <c r="AZ26" s="4" t="e">
        <f>'Endett. net + degré d''auto.'!AZ48</f>
        <v>#VALUE!</v>
      </c>
      <c r="BA26" s="4">
        <f>'Endett. net + degré d''auto.'!BA48</f>
        <v>227.58192619080683</v>
      </c>
      <c r="BB26" s="4">
        <f>'Endett. net + degré d''auto.'!BB48</f>
        <v>219.90440829233057</v>
      </c>
      <c r="BC26" s="4" t="e">
        <f>'Endett. net + degré d''auto.'!BC48</f>
        <v>#VALUE!</v>
      </c>
      <c r="BD26" s="4">
        <f>'Endett. net + degré d''auto.'!BD48</f>
        <v>-1473.5315391598212</v>
      </c>
      <c r="BE26" s="4">
        <f>'Endett. net + degré d''auto.'!BE48</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580</v>
      </c>
      <c r="D29" s="131">
        <f>'Quotité d''intéret + revenus det'!D25</f>
        <v>1.4435025366540681</v>
      </c>
      <c r="E29" s="4">
        <f>'Quotité d''intéret + revenus det'!E25</f>
        <v>7.6553601655648548E-2</v>
      </c>
      <c r="F29" s="4">
        <f>'Quotité d''intéret + revenus det'!F25</f>
        <v>2.862309213919795</v>
      </c>
      <c r="G29" s="4">
        <f>'Quotité d''intéret + revenus det'!G25</f>
        <v>4.7484417593637103</v>
      </c>
      <c r="H29" s="4">
        <f>'Quotité d''intéret + revenus det'!H25</f>
        <v>5.2980397416059608</v>
      </c>
      <c r="I29" s="4">
        <f>'Quotité d''intéret + revenus det'!I25</f>
        <v>2.138289938260042</v>
      </c>
      <c r="J29" s="4">
        <f>'Quotité d''intéret + revenus det'!J25</f>
        <v>1.0779907609403421</v>
      </c>
      <c r="K29" s="4">
        <f>'Quotité d''intéret + revenus det'!K25</f>
        <v>0.74979844162490739</v>
      </c>
      <c r="L29" s="4">
        <f>'Quotité d''intéret + revenus det'!L25</f>
        <v>0.57893410650682231</v>
      </c>
      <c r="M29" s="4">
        <f>'Quotité d''intéret + revenus det'!M25</f>
        <v>0.3556992448713735</v>
      </c>
      <c r="N29" s="4" t="e">
        <f>'Quotité d''intéret + revenus det'!N25</f>
        <v>#VALUE!</v>
      </c>
      <c r="O29" s="4">
        <f>'Quotité d''intéret + revenus det'!O25</f>
        <v>0.88767018302878675</v>
      </c>
      <c r="P29" s="4">
        <f>'Quotité d''intéret + revenus det'!P25</f>
        <v>2.4626782377352914</v>
      </c>
      <c r="Q29" s="4">
        <f>'Quotité d''intéret + revenus det'!Q25</f>
        <v>2.5978853826449186</v>
      </c>
      <c r="R29" s="4">
        <f>'Quotité d''intéret + revenus det'!R25</f>
        <v>3.7120647031162552</v>
      </c>
      <c r="S29" s="4">
        <f>'Quotité d''intéret + revenus det'!S25</f>
        <v>7.0274777957921826</v>
      </c>
      <c r="T29" s="4">
        <f>'Quotité d''intéret + revenus det'!T25</f>
        <v>1.6720419265770625</v>
      </c>
      <c r="U29" s="4">
        <f>'Quotité d''intéret + revenus det'!U25</f>
        <v>-0.18422801286332319</v>
      </c>
      <c r="V29" s="4">
        <f>'Quotité d''intéret + revenus det'!V25</f>
        <v>3.3745805148662011</v>
      </c>
      <c r="W29" s="4">
        <f>'Quotité d''intéret + revenus det'!W25</f>
        <v>1.5586797969178576</v>
      </c>
      <c r="X29" s="4">
        <f>'Quotité d''intéret + revenus det'!X25</f>
        <v>-0.26436980670608651</v>
      </c>
      <c r="Y29" s="4">
        <f>'Quotité d''intéret + revenus det'!Y25</f>
        <v>3.2033339174429494</v>
      </c>
      <c r="Z29" s="4">
        <f>'Quotité d''intéret + revenus det'!Z25</f>
        <v>-0.25376604648103745</v>
      </c>
      <c r="AA29" s="4">
        <f>'Quotité d''intéret + revenus det'!AA25</f>
        <v>8.4291939853166333</v>
      </c>
      <c r="AB29" s="4">
        <f>'Quotité d''intéret + revenus det'!AB25</f>
        <v>0.21439013414058061</v>
      </c>
      <c r="AC29" s="4">
        <f>'Quotité d''intéret + revenus det'!AC25</f>
        <v>2.5101974758090688</v>
      </c>
      <c r="AD29" s="4">
        <f>'Quotité d''intéret + revenus det'!AD25</f>
        <v>-1.5861619756923973</v>
      </c>
      <c r="AE29" s="4">
        <f>'Quotité d''intéret + revenus det'!AE25</f>
        <v>2.2598289132293403</v>
      </c>
      <c r="AF29" s="4">
        <f>'Quotité d''intéret + revenus det'!AF25</f>
        <v>0.19454663339817824</v>
      </c>
      <c r="AG29" s="4">
        <f>'Quotité d''intéret + revenus det'!AG25</f>
        <v>0.84150648684192442</v>
      </c>
      <c r="AH29" s="4">
        <f>'Quotité d''intéret + revenus det'!AH25</f>
        <v>1.9035812338406615</v>
      </c>
      <c r="AI29" s="4">
        <f>'Quotité d''intéret + revenus det'!AI25</f>
        <v>0.42364225824525847</v>
      </c>
      <c r="AJ29" s="4">
        <f>'Quotité d''intéret + revenus det'!AJ25</f>
        <v>0.16400197198503161</v>
      </c>
      <c r="AK29" s="4">
        <f>'Quotité d''intéret + revenus det'!AK25</f>
        <v>0.68738373157138666</v>
      </c>
      <c r="AL29" s="4">
        <f>'Quotité d''intéret + revenus det'!AL25</f>
        <v>3.5327958258023857</v>
      </c>
      <c r="AM29" s="4">
        <f>'Quotité d''intéret + revenus det'!AM25</f>
        <v>2.2483690909752845</v>
      </c>
      <c r="AN29" s="4">
        <f>'Quotité d''intéret + revenus det'!AN25</f>
        <v>-2.0535758989909589</v>
      </c>
      <c r="AO29" s="4">
        <f>'Quotité d''intéret + revenus det'!AO25</f>
        <v>0.62857726139987313</v>
      </c>
      <c r="AP29" s="4">
        <f>'Quotité d''intéret + revenus det'!AP25</f>
        <v>1.4402496146230848</v>
      </c>
      <c r="AQ29" s="4">
        <f>'Quotité d''intéret + revenus det'!AQ25</f>
        <v>1.5740459892609744</v>
      </c>
      <c r="AR29" s="4">
        <f>'Quotité d''intéret + revenus det'!AR25</f>
        <v>1.7595760092328301</v>
      </c>
      <c r="AS29" s="4">
        <f>'Quotité d''intéret + revenus det'!AS25</f>
        <v>1.9026119407402848</v>
      </c>
      <c r="AT29" s="4">
        <f>'Quotité d''intéret + revenus det'!AT25</f>
        <v>2.3316563378902511</v>
      </c>
      <c r="AU29" s="4">
        <f>'Quotité d''intéret + revenus det'!AU25</f>
        <v>0.81127491987407518</v>
      </c>
      <c r="AV29" s="4">
        <f>'Quotité d''intéret + revenus det'!AV25</f>
        <v>2.6740501161172174</v>
      </c>
      <c r="AW29" s="4">
        <f>'Quotité d''intéret + revenus det'!AW25</f>
        <v>1.4438600564771966</v>
      </c>
      <c r="AX29" s="4">
        <f>'Quotité d''intéret + revenus det'!AX25</f>
        <v>1.0029225818084</v>
      </c>
      <c r="AY29" s="4">
        <f>'Quotité d''intéret + revenus det'!AY25</f>
        <v>0.89846473112479441</v>
      </c>
      <c r="AZ29" s="4">
        <f>'Quotité d''intéret + revenus det'!AZ25</f>
        <v>5.4527880740282582</v>
      </c>
      <c r="BA29" s="4">
        <f>'Quotité d''intéret + revenus det'!BA25</f>
        <v>-0.21033873125089297</v>
      </c>
      <c r="BB29" s="4">
        <f>'Quotité d''intéret + revenus det'!BB25</f>
        <v>1.4692231724492817</v>
      </c>
      <c r="BC29" s="4">
        <f>'Quotité d''intéret + revenus det'!BC25</f>
        <v>-1.0828300530300936</v>
      </c>
      <c r="BD29" s="4">
        <f>'Quotité d''intéret + revenus det'!BD25</f>
        <v>2.4316799166573313</v>
      </c>
      <c r="BE29" s="4">
        <f>'Quotité d''intéret + revenus det'!BE25</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581</v>
      </c>
      <c r="D31" s="131">
        <f>'Quotité d''intéret + revenus det'!D40</f>
        <v>255.25284918619286</v>
      </c>
      <c r="E31" s="4">
        <f>'Quotité d''intéret + revenus det'!E40</f>
        <v>222.00231094004522</v>
      </c>
      <c r="F31" s="4">
        <f>'Quotité d''intéret + revenus det'!F40</f>
        <v>239.11209636368235</v>
      </c>
      <c r="G31" s="4">
        <f>'Quotité d''intéret + revenus det'!G40</f>
        <v>485.98382992820933</v>
      </c>
      <c r="H31" s="4">
        <f>'Quotité d''intéret + revenus det'!H40</f>
        <v>419.48775690627667</v>
      </c>
      <c r="I31" s="4">
        <f>'Quotité d''intéret + revenus det'!I40</f>
        <v>305.26757401214337</v>
      </c>
      <c r="J31" s="4">
        <f>'Quotité d''intéret + revenus det'!J40</f>
        <v>222.03169083472639</v>
      </c>
      <c r="K31" s="4">
        <f>'Quotité d''intéret + revenus det'!K40</f>
        <v>96.362060861585036</v>
      </c>
      <c r="L31" s="4">
        <f>'Quotité d''intéret + revenus det'!L40</f>
        <v>329.5567878055179</v>
      </c>
      <c r="M31" s="4">
        <f>'Quotité d''intéret + revenus det'!M40</f>
        <v>167.34657871202828</v>
      </c>
      <c r="N31" s="4" t="e">
        <f>'Quotité d''intéret + revenus det'!N40</f>
        <v>#VALUE!</v>
      </c>
      <c r="O31" s="4">
        <f>'Quotité d''intéret + revenus det'!O40</f>
        <v>231.80936233037005</v>
      </c>
      <c r="P31" s="4">
        <f>'Quotité d''intéret + revenus det'!P40</f>
        <v>257.63861219080337</v>
      </c>
      <c r="Q31" s="4">
        <f>'Quotité d''intéret + revenus det'!Q40</f>
        <v>285.83957215261779</v>
      </c>
      <c r="R31" s="4">
        <f>'Quotité d''intéret + revenus det'!R40</f>
        <v>334.97662539875728</v>
      </c>
      <c r="S31" s="4">
        <f>'Quotité d''intéret + revenus det'!S40</f>
        <v>581.64660524769954</v>
      </c>
      <c r="T31" s="4">
        <f>'Quotité d''intéret + revenus det'!T40</f>
        <v>275.41460905746095</v>
      </c>
      <c r="U31" s="4">
        <f>'Quotité d''intéret + revenus det'!U40</f>
        <v>109.58373732375289</v>
      </c>
      <c r="V31" s="4">
        <f>'Quotité d''intéret + revenus det'!V40</f>
        <v>211.38321866941078</v>
      </c>
      <c r="W31" s="4">
        <f>'Quotité d''intéret + revenus det'!W40</f>
        <v>201.53482621513569</v>
      </c>
      <c r="X31" s="4">
        <f>'Quotité d''intéret + revenus det'!X40</f>
        <v>66.882497988362545</v>
      </c>
      <c r="Y31" s="4">
        <f>'Quotité d''intéret + revenus det'!Y40</f>
        <v>321.31633746844506</v>
      </c>
      <c r="Z31" s="4">
        <f>'Quotité d''intéret + revenus det'!Z40</f>
        <v>85.306255102747315</v>
      </c>
      <c r="AA31" s="4">
        <f>'Quotité d''intéret + revenus det'!AA40</f>
        <v>1264.4713595854109</v>
      </c>
      <c r="AB31" s="4">
        <f>'Quotité d''intéret + revenus det'!AB40</f>
        <v>430.2631555041242</v>
      </c>
      <c r="AC31" s="4">
        <f>'Quotité d''intéret + revenus det'!AC40</f>
        <v>357.5451156644491</v>
      </c>
      <c r="AD31" s="4">
        <f>'Quotité d''intéret + revenus det'!AD40</f>
        <v>658.83767280918175</v>
      </c>
      <c r="AE31" s="4">
        <f>'Quotité d''intéret + revenus det'!AE40</f>
        <v>311.94418310873277</v>
      </c>
      <c r="AF31" s="4">
        <f>'Quotité d''intéret + revenus det'!AF40</f>
        <v>92.848764247977613</v>
      </c>
      <c r="AG31" s="4">
        <f>'Quotité d''intéret + revenus det'!AG40</f>
        <v>102.36560756179199</v>
      </c>
      <c r="AH31" s="4">
        <f>'Quotité d''intéret + revenus det'!AH40</f>
        <v>251.07795800415377</v>
      </c>
      <c r="AI31" s="4">
        <f>'Quotité d''intéret + revenus det'!AI40</f>
        <v>169.74103324531347</v>
      </c>
      <c r="AJ31" s="4">
        <f>'Quotité d''intéret + revenus det'!AJ40</f>
        <v>240.56813845650186</v>
      </c>
      <c r="AK31" s="4">
        <f>'Quotité d''intéret + revenus det'!AK40</f>
        <v>316.57774476041084</v>
      </c>
      <c r="AL31" s="4">
        <f>'Quotité d''intéret + revenus det'!AL40</f>
        <v>261.03259003343538</v>
      </c>
      <c r="AM31" s="4">
        <f>'Quotité d''intéret + revenus det'!AM40</f>
        <v>385.80890000849035</v>
      </c>
      <c r="AN31" s="4">
        <f>'Quotité d''intéret + revenus det'!AN40</f>
        <v>487.4529903492957</v>
      </c>
      <c r="AO31" s="4">
        <f>'Quotité d''intéret + revenus det'!AO40</f>
        <v>147.87057668298502</v>
      </c>
      <c r="AP31" s="4">
        <f>'Quotité d''intéret + revenus det'!AP40</f>
        <v>266.02234485207941</v>
      </c>
      <c r="AQ31" s="4">
        <f>'Quotité d''intéret + revenus det'!AQ40</f>
        <v>227.43539164651389</v>
      </c>
      <c r="AR31" s="4">
        <f>'Quotité d''intéret + revenus det'!AR40</f>
        <v>281.71320359908935</v>
      </c>
      <c r="AS31" s="4">
        <f>'Quotité d''intéret + revenus det'!AS40</f>
        <v>326.15011644275955</v>
      </c>
      <c r="AT31" s="4">
        <f>'Quotité d''intéret + revenus det'!AT40</f>
        <v>335.39029587621678</v>
      </c>
      <c r="AU31" s="4">
        <f>'Quotité d''intéret + revenus det'!AU40</f>
        <v>83.95140335513787</v>
      </c>
      <c r="AV31" s="4">
        <f>'Quotité d''intéret + revenus det'!AV40</f>
        <v>250.0363158769014</v>
      </c>
      <c r="AW31" s="4">
        <f>'Quotité d''intéret + revenus det'!AW40</f>
        <v>259.83880343873039</v>
      </c>
      <c r="AX31" s="4">
        <f>'Quotité d''intéret + revenus det'!AX40</f>
        <v>218.3597587068308</v>
      </c>
      <c r="AY31" s="4">
        <f>'Quotité d''intéret + revenus det'!AY40</f>
        <v>222.34452259796734</v>
      </c>
      <c r="AZ31" s="4">
        <f>'Quotité d''intéret + revenus det'!AZ40</f>
        <v>423.16872990597949</v>
      </c>
      <c r="BA31" s="4">
        <f>'Quotité d''intéret + revenus det'!BA40</f>
        <v>123.07474538870397</v>
      </c>
      <c r="BB31" s="4">
        <f>'Quotité d''intéret + revenus det'!BB40</f>
        <v>282.9673788677465</v>
      </c>
      <c r="BC31" s="4">
        <f>'Quotité d''intéret + revenus det'!BC40</f>
        <v>60.374490006609925</v>
      </c>
      <c r="BD31" s="4">
        <f>'Quotité d''intéret + revenus det'!BD40</f>
        <v>262.10478939943715</v>
      </c>
      <c r="BE31" s="4">
        <f>'Quotité d''intéret + revenus det'!BE40</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539</v>
      </c>
      <c r="D33" s="131">
        <f>'Quotité d''invest + fin.'!D26</f>
        <v>11.443409394995824</v>
      </c>
      <c r="E33" s="4">
        <f>'Quotité d''invest + fin.'!E26</f>
        <v>17.330990228691572</v>
      </c>
      <c r="F33" s="4">
        <f>'Quotité d''invest + fin.'!F26</f>
        <v>0.64791760977818025</v>
      </c>
      <c r="G33" s="4">
        <f>'Quotité d''invest + fin.'!G26</f>
        <v>63.326469399585918</v>
      </c>
      <c r="H33" s="4">
        <f>'Quotité d''invest + fin.'!H26</f>
        <v>14.518359270190329</v>
      </c>
      <c r="I33" s="4">
        <f>'Quotité d''invest + fin.'!I26</f>
        <v>17.413025207451863</v>
      </c>
      <c r="J33" s="4">
        <f>'Quotité d''invest + fin.'!J26</f>
        <v>17.794638352713417</v>
      </c>
      <c r="K33" s="4">
        <f>'Quotité d''invest + fin.'!K26</f>
        <v>13.40904168518921</v>
      </c>
      <c r="L33" s="4">
        <f>'Quotité d''invest + fin.'!L26</f>
        <v>14.348159730024273</v>
      </c>
      <c r="M33" s="4">
        <f>'Quotité d''invest + fin.'!M26</f>
        <v>3.7572009362153644</v>
      </c>
      <c r="N33" s="4">
        <f>'Quotité d''invest + fin.'!N26</f>
        <v>100</v>
      </c>
      <c r="O33" s="4">
        <f>'Quotité d''invest + fin.'!O26</f>
        <v>8.7840529034370576</v>
      </c>
      <c r="P33" s="4">
        <f>'Quotité d''invest + fin.'!P26</f>
        <v>8.8708141483020917</v>
      </c>
      <c r="Q33" s="4">
        <f>'Quotité d''invest + fin.'!Q26</f>
        <v>0</v>
      </c>
      <c r="R33" s="4">
        <f>'Quotité d''invest + fin.'!R26</f>
        <v>1.2055371187386901</v>
      </c>
      <c r="S33" s="4">
        <f>'Quotité d''invest + fin.'!S26</f>
        <v>11.76691154371936</v>
      </c>
      <c r="T33" s="4">
        <f>'Quotité d''invest + fin.'!T26</f>
        <v>9.446254106951125</v>
      </c>
      <c r="U33" s="4">
        <f>'Quotité d''invest + fin.'!U26</f>
        <v>9.13810207188817</v>
      </c>
      <c r="V33" s="4">
        <f>'Quotité d''invest + fin.'!V26</f>
        <v>13.15956336409573</v>
      </c>
      <c r="W33" s="4">
        <f>'Quotité d''invest + fin.'!W26</f>
        <v>9.6406155609691364</v>
      </c>
      <c r="X33" s="4">
        <f>'Quotité d''invest + fin.'!X26</f>
        <v>5.046160099112833</v>
      </c>
      <c r="Y33" s="4">
        <f>'Quotité d''invest + fin.'!Y26</f>
        <v>2.6080903238253303</v>
      </c>
      <c r="Z33" s="4">
        <f>'Quotité d''invest + fin.'!Z26</f>
        <v>5.1170033647591895</v>
      </c>
      <c r="AA33" s="4">
        <f>'Quotité d''invest + fin.'!AA26</f>
        <v>0</v>
      </c>
      <c r="AB33" s="4">
        <f>'Quotité d''invest + fin.'!AB26</f>
        <v>10.712666501868693</v>
      </c>
      <c r="AC33" s="4">
        <f>'Quotité d''invest + fin.'!AC26</f>
        <v>4.5872008099482313</v>
      </c>
      <c r="AD33" s="4">
        <f>'Quotité d''invest + fin.'!AD26</f>
        <v>4.9097294138664385</v>
      </c>
      <c r="AE33" s="4">
        <f>'Quotité d''invest + fin.'!AE26</f>
        <v>1.6051701513612948</v>
      </c>
      <c r="AF33" s="4">
        <f>'Quotité d''invest + fin.'!AF26</f>
        <v>22.430143125738912</v>
      </c>
      <c r="AG33" s="4">
        <f>'Quotité d''invest + fin.'!AG26</f>
        <v>9.1928520691834166</v>
      </c>
      <c r="AH33" s="4">
        <f>'Quotité d''invest + fin.'!AH26</f>
        <v>3.7743738182535811</v>
      </c>
      <c r="AI33" s="4">
        <f>'Quotité d''invest + fin.'!AI26</f>
        <v>0</v>
      </c>
      <c r="AJ33" s="4">
        <f>'Quotité d''invest + fin.'!AJ26</f>
        <v>0</v>
      </c>
      <c r="AK33" s="4">
        <f>'Quotité d''invest + fin.'!AK26</f>
        <v>23.820959179579411</v>
      </c>
      <c r="AL33" s="4">
        <f>'Quotité d''invest + fin.'!AL26</f>
        <v>23.065040118746062</v>
      </c>
      <c r="AM33" s="4">
        <f>'Quotité d''invest + fin.'!AM26</f>
        <v>6.4972595160885129</v>
      </c>
      <c r="AN33" s="4">
        <f>'Quotité d''invest + fin.'!AN26</f>
        <v>52.961794650704185</v>
      </c>
      <c r="AO33" s="4">
        <f>'Quotité d''invest + fin.'!AO26</f>
        <v>10.89590242752487</v>
      </c>
      <c r="AP33" s="4">
        <f>'Quotité d''invest + fin.'!AP26</f>
        <v>11.835679379118719</v>
      </c>
      <c r="AQ33" s="4">
        <f>'Quotité d''invest + fin.'!AQ26</f>
        <v>2.5443146522539277</v>
      </c>
      <c r="AR33" s="4">
        <f>'Quotité d''invest + fin.'!AR26</f>
        <v>7.8034404525353276</v>
      </c>
      <c r="AS33" s="4">
        <f>'Quotité d''invest + fin.'!AS26</f>
        <v>2.8782432398462583</v>
      </c>
      <c r="AT33" s="4">
        <f>'Quotité d''invest + fin.'!AT26</f>
        <v>6.0533493249097008</v>
      </c>
      <c r="AU33" s="4">
        <f>'Quotité d''invest + fin.'!AU26</f>
        <v>19.048042847030661</v>
      </c>
      <c r="AV33" s="4">
        <f>'Quotité d''invest + fin.'!AV26</f>
        <v>7.6192184960653737</v>
      </c>
      <c r="AW33" s="4">
        <f>'Quotité d''invest + fin.'!AW26</f>
        <v>2.2211302166303115</v>
      </c>
      <c r="AX33" s="4">
        <f>'Quotité d''invest + fin.'!AX26</f>
        <v>0</v>
      </c>
      <c r="AY33" s="4">
        <f>'Quotité d''invest + fin.'!AY26</f>
        <v>0</v>
      </c>
      <c r="AZ33" s="4">
        <f>'Quotité d''invest + fin.'!AZ26</f>
        <v>0</v>
      </c>
      <c r="BA33" s="4">
        <f>'Quotité d''invest + fin.'!BA26</f>
        <v>10.62228683844004</v>
      </c>
      <c r="BB33" s="4">
        <f>'Quotité d''invest + fin.'!BB26</f>
        <v>6.3351996348293245</v>
      </c>
      <c r="BC33" s="4">
        <f>'Quotité d''invest + fin.'!BC26</f>
        <v>0</v>
      </c>
      <c r="BD33" s="4">
        <f>'Quotité d''invest + fin.'!BD26</f>
        <v>8.1188239344089208</v>
      </c>
      <c r="BE33" s="4">
        <f>'Quotité d''invest + fin.'!BE26</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582</v>
      </c>
      <c r="D35" s="131">
        <f>'Quotité d''invest + fin.'!D43</f>
        <v>9.7301118397617721</v>
      </c>
      <c r="E35" s="4">
        <f>'Quotité d''invest + fin.'!E43</f>
        <v>14.784702324106608</v>
      </c>
      <c r="F35" s="4">
        <f>'Quotité d''invest + fin.'!F43</f>
        <v>9.968938262365187</v>
      </c>
      <c r="G35" s="4">
        <f>'Quotité d''invest + fin.'!G43</f>
        <v>7.0494444170828885</v>
      </c>
      <c r="H35" s="4">
        <f>'Quotité d''invest + fin.'!H43</f>
        <v>14.397705224171869</v>
      </c>
      <c r="I35" s="4">
        <f>'Quotité d''invest + fin.'!I43</f>
        <v>8.7622858412698754</v>
      </c>
      <c r="J35" s="4">
        <f>'Quotité d''invest + fin.'!J43</f>
        <v>9.9658814735385448</v>
      </c>
      <c r="K35" s="4">
        <f>'Quotité d''invest + fin.'!K43</f>
        <v>6.9224454507237629</v>
      </c>
      <c r="L35" s="4">
        <f>'Quotité d''invest + fin.'!L43</f>
        <v>9.3816410367039502</v>
      </c>
      <c r="M35" s="4">
        <f>'Quotité d''invest + fin.'!M43</f>
        <v>6.0652790416694646</v>
      </c>
      <c r="N35" s="4" t="e">
        <f>'Quotité d''invest + fin.'!N43</f>
        <v>#VALUE!</v>
      </c>
      <c r="O35" s="4">
        <f>'Quotité d''invest + fin.'!O43</f>
        <v>7.3679904326552759</v>
      </c>
      <c r="P35" s="4">
        <f>'Quotité d''invest + fin.'!P43</f>
        <v>13.663169798432333</v>
      </c>
      <c r="Q35" s="4">
        <f>'Quotité d''invest + fin.'!Q43</f>
        <v>9.442867975766255</v>
      </c>
      <c r="R35" s="4">
        <f>'Quotité d''invest + fin.'!R43</f>
        <v>11.920862138049024</v>
      </c>
      <c r="S35" s="4">
        <f>'Quotité d''invest + fin.'!S43</f>
        <v>16.371667172839079</v>
      </c>
      <c r="T35" s="4">
        <f>'Quotité d''invest + fin.'!T43</f>
        <v>6.8027558176897678</v>
      </c>
      <c r="U35" s="4">
        <f>'Quotité d''invest + fin.'!U43</f>
        <v>4.7082468357995184</v>
      </c>
      <c r="V35" s="4">
        <f>'Quotité d''invest + fin.'!V43</f>
        <v>14.895935727879264</v>
      </c>
      <c r="W35" s="4">
        <f>'Quotité d''invest + fin.'!W43</f>
        <v>13.107220296447972</v>
      </c>
      <c r="X35" s="4">
        <f>'Quotité d''invest + fin.'!X43</f>
        <v>5.8230866470863365</v>
      </c>
      <c r="Y35" s="4">
        <f>'Quotité d''invest + fin.'!Y43</f>
        <v>8.9718941676598529</v>
      </c>
      <c r="Z35" s="4">
        <f>'Quotité d''invest + fin.'!Z43</f>
        <v>2.5676302079888136</v>
      </c>
      <c r="AA35" s="4">
        <f>'Quotité d''invest + fin.'!AA43</f>
        <v>87.415099524949952</v>
      </c>
      <c r="AB35" s="4">
        <f>'Quotité d''invest + fin.'!AB43</f>
        <v>0.45896818808192102</v>
      </c>
      <c r="AC35" s="4">
        <f>'Quotité d''invest + fin.'!AC43</f>
        <v>9.4511845964329932</v>
      </c>
      <c r="AD35" s="4">
        <f>'Quotité d''invest + fin.'!AD43</f>
        <v>8.5437529531322749</v>
      </c>
      <c r="AE35" s="4">
        <f>'Quotité d''invest + fin.'!AE43</f>
        <v>11.437457691151657</v>
      </c>
      <c r="AF35" s="4">
        <f>'Quotité d''invest + fin.'!AF43</f>
        <v>3.8759082665869418</v>
      </c>
      <c r="AG35" s="4">
        <f>'Quotité d''invest + fin.'!AG43</f>
        <v>7.1977886554797781</v>
      </c>
      <c r="AH35" s="4">
        <f>'Quotité d''invest + fin.'!AH43</f>
        <v>14.492134344602107</v>
      </c>
      <c r="AI35" s="4">
        <f>'Quotité d''invest + fin.'!AI43</f>
        <v>9.4747585111207204</v>
      </c>
      <c r="AJ35" s="4">
        <f>'Quotité d''invest + fin.'!AJ43</f>
        <v>1.7431959573972269</v>
      </c>
      <c r="AK35" s="4">
        <f>'Quotité d''invest + fin.'!AK43</f>
        <v>0.68738373157138666</v>
      </c>
      <c r="AL35" s="4">
        <f>'Quotité d''invest + fin.'!AL43</f>
        <v>13.080989561863055</v>
      </c>
      <c r="AM35" s="4">
        <f>'Quotité d''invest + fin.'!AM43</f>
        <v>8.0750825712810759</v>
      </c>
      <c r="AN35" s="4">
        <f>'Quotité d''invest + fin.'!AN43</f>
        <v>3.50629154300819</v>
      </c>
      <c r="AO35" s="4">
        <f>'Quotité d''invest + fin.'!AO43</f>
        <v>6.0681426971459169</v>
      </c>
      <c r="AP35" s="4">
        <f>'Quotité d''invest + fin.'!AP43</f>
        <v>4.2536921113888422</v>
      </c>
      <c r="AQ35" s="4">
        <f>'Quotité d''invest + fin.'!AQ43</f>
        <v>9.3475427306636067</v>
      </c>
      <c r="AR35" s="4">
        <f>'Quotité d''invest + fin.'!AR43</f>
        <v>17.090690438611176</v>
      </c>
      <c r="AS35" s="4">
        <f>'Quotité d''invest + fin.'!AS43</f>
        <v>7.7771284398564555</v>
      </c>
      <c r="AT35" s="4">
        <f>'Quotité d''invest + fin.'!AT43</f>
        <v>8.6036039642716418</v>
      </c>
      <c r="AU35" s="4">
        <f>'Quotité d''invest + fin.'!AU43</f>
        <v>19.979519721112961</v>
      </c>
      <c r="AV35" s="4">
        <f>'Quotité d''invest + fin.'!AV43</f>
        <v>8.7527734563056487</v>
      </c>
      <c r="AW35" s="4">
        <f>'Quotité d''invest + fin.'!AW43</f>
        <v>4.622895075962842</v>
      </c>
      <c r="AX35" s="4">
        <f>'Quotité d''invest + fin.'!AX43</f>
        <v>4.1047504427694275</v>
      </c>
      <c r="AY35" s="4">
        <f>'Quotité d''invest + fin.'!AY43</f>
        <v>16.574591303161942</v>
      </c>
      <c r="AZ35" s="4">
        <f>'Quotité d''invest + fin.'!AZ43</f>
        <v>14.743974295134926</v>
      </c>
      <c r="BA35" s="4">
        <f>'Quotité d''invest + fin.'!BA43</f>
        <v>2.7387621636448372</v>
      </c>
      <c r="BB35" s="4">
        <f>'Quotité d''invest + fin.'!BB43</f>
        <v>12.024400962361057</v>
      </c>
      <c r="BC35" s="4">
        <f>'Quotité d''invest + fin.'!BC43</f>
        <v>2.568503850129074</v>
      </c>
      <c r="BD35" s="4">
        <f>'Quotité d''invest + fin.'!BD43</f>
        <v>14.948587244369516</v>
      </c>
      <c r="BE35" s="4">
        <f>'Quotité d''invest + fin.'!BE43</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553</v>
      </c>
      <c r="D37" s="131">
        <f>'Quotité d''autofinancement'!D19</f>
        <v>3363.7745611797686</v>
      </c>
      <c r="E37" s="4">
        <f>'Quotité d''autofinancement'!E19</f>
        <v>2146.8497291440954</v>
      </c>
      <c r="F37" s="4">
        <f>'Quotité d''autofinancement'!F19</f>
        <v>1287.0372222222225</v>
      </c>
      <c r="G37" s="4">
        <f>'Quotité d''autofinancement'!G19</f>
        <v>4356.8770927835048</v>
      </c>
      <c r="H37" s="4">
        <f>'Quotité d''autofinancement'!H19</f>
        <v>748.47730941704219</v>
      </c>
      <c r="I37" s="4">
        <f>'Quotité d''autofinancement'!I19</f>
        <v>3076.3335169374827</v>
      </c>
      <c r="J37" s="4">
        <f>'Quotité d''autofinancement'!J19</f>
        <v>3957.8879957742233</v>
      </c>
      <c r="K37" s="4">
        <f>'Quotité d''autofinancement'!K19</f>
        <v>387.61345310136113</v>
      </c>
      <c r="L37" s="4">
        <f>'Quotité d''autofinancement'!L19</f>
        <v>5589.0641440798863</v>
      </c>
      <c r="M37" s="4">
        <f>'Quotité d''autofinancement'!M19</f>
        <v>1549.8934719183076</v>
      </c>
      <c r="N37" s="4">
        <f>'Quotité d''autofinancement'!N19</f>
        <v>0</v>
      </c>
      <c r="O37" s="4">
        <f>'Quotité d''autofinancement'!O19</f>
        <v>3012.9456815962053</v>
      </c>
      <c r="P37" s="4">
        <f>'Quotité d''autofinancement'!P19</f>
        <v>2589.5717613636357</v>
      </c>
      <c r="Q37" s="4">
        <f>'Quotité d''autofinancement'!Q19</f>
        <v>2268.837962962963</v>
      </c>
      <c r="R37" s="4">
        <f>'Quotité d''autofinancement'!R19</f>
        <v>4519.2737831325303</v>
      </c>
      <c r="S37" s="4">
        <f>'Quotité d''autofinancement'!S19</f>
        <v>6172.5720057306598</v>
      </c>
      <c r="T37" s="4">
        <f>'Quotité d''autofinancement'!T19</f>
        <v>309.52333333333235</v>
      </c>
      <c r="U37" s="4">
        <f>'Quotité d''autofinancement'!U19</f>
        <v>1148.1851372549013</v>
      </c>
      <c r="V37" s="4">
        <f>'Quotité d''autofinancement'!V19</f>
        <v>1007.3662844036702</v>
      </c>
      <c r="W37" s="4">
        <f>'Quotité d''autofinancement'!W19</f>
        <v>3265.9021442006269</v>
      </c>
      <c r="X37" s="4">
        <f>'Quotité d''autofinancement'!X19</f>
        <v>-3334.9074074074074</v>
      </c>
      <c r="Y37" s="4">
        <f>'Quotité d''autofinancement'!Y19</f>
        <v>6249.259967897272</v>
      </c>
      <c r="Z37" s="4">
        <f>'Quotité d''autofinancement'!Z19</f>
        <v>-5880.4168128272258</v>
      </c>
      <c r="AA37" s="4">
        <f>'Quotité d''autofinancement'!AA19</f>
        <v>1416.5729166666667</v>
      </c>
      <c r="AB37" s="4">
        <f>'Quotité d''autofinancement'!AB19</f>
        <v>1068.7534228187919</v>
      </c>
      <c r="AC37" s="4">
        <f>'Quotité d''autofinancement'!AC19</f>
        <v>507.19215116279054</v>
      </c>
      <c r="AD37" s="4">
        <f>'Quotité d''autofinancement'!AD19</f>
        <v>9841.0510134128181</v>
      </c>
      <c r="AE37" s="4">
        <f>'Quotité d''autofinancement'!AE19</f>
        <v>2247.7640384615379</v>
      </c>
      <c r="AF37" s="4">
        <f>'Quotité d''autofinancement'!AF19</f>
        <v>-6328.4958163265301</v>
      </c>
      <c r="AG37" s="4">
        <f>'Quotité d''autofinancement'!AG19</f>
        <v>-563.04482236154649</v>
      </c>
      <c r="AH37" s="4">
        <f>'Quotité d''autofinancement'!AH19</f>
        <v>3895.6585086042064</v>
      </c>
      <c r="AI37" s="4">
        <f>'Quotité d''autofinancement'!AI19</f>
        <v>537.50220264317181</v>
      </c>
      <c r="AJ37" s="4">
        <f>'Quotité d''autofinancement'!AJ19</f>
        <v>-8633.8858778625963</v>
      </c>
      <c r="AK37" s="4">
        <f>'Quotité d''autofinancement'!AK19</f>
        <v>5997.8113773087061</v>
      </c>
      <c r="AL37" s="4">
        <f>'Quotité d''autofinancement'!AL19</f>
        <v>-2980.0607929515418</v>
      </c>
      <c r="AM37" s="4">
        <f>'Quotité d''autofinancement'!AM19</f>
        <v>5517.3569298952461</v>
      </c>
      <c r="AN37" s="4">
        <f>'Quotité d''autofinancement'!AN19</f>
        <v>-4352.1665546218483</v>
      </c>
      <c r="AO37" s="4">
        <f>'Quotité d''autofinancement'!AO19</f>
        <v>-3215.9774309623426</v>
      </c>
      <c r="AP37" s="4">
        <f>'Quotité d''autofinancement'!AP19</f>
        <v>2201.8834690799395</v>
      </c>
      <c r="AQ37" s="4">
        <f>'Quotité d''autofinancement'!AQ19</f>
        <v>1438.9178294573644</v>
      </c>
      <c r="AR37" s="4">
        <f>'Quotité d''autofinancement'!AR19</f>
        <v>-1600.0405304829767</v>
      </c>
      <c r="AS37" s="4">
        <f>'Quotité d''autofinancement'!AS19</f>
        <v>4242.3674189189196</v>
      </c>
      <c r="AT37" s="4">
        <f>'Quotité d''autofinancement'!AT19</f>
        <v>4951.465145914397</v>
      </c>
      <c r="AU37" s="4">
        <f>'Quotité d''autofinancement'!AU19</f>
        <v>-5761.6688853503192</v>
      </c>
      <c r="AV37" s="4">
        <f>'Quotité d''autofinancement'!AV19</f>
        <v>4083.5316291666668</v>
      </c>
      <c r="AW37" s="4">
        <f>'Quotité d''autofinancement'!AW19</f>
        <v>3897.0930728476819</v>
      </c>
      <c r="AX37" s="4">
        <f>'Quotité d''autofinancement'!AX19</f>
        <v>1675.7038674033151</v>
      </c>
      <c r="AY37" s="4">
        <f>'Quotité d''autofinancement'!AY19</f>
        <v>179.72553314121041</v>
      </c>
      <c r="AZ37" s="4">
        <f>'Quotité d''autofinancement'!AZ19</f>
        <v>9902.1199822485196</v>
      </c>
      <c r="BA37" s="4">
        <f>'Quotité d''autofinancement'!BA19</f>
        <v>-1086.2502325581397</v>
      </c>
      <c r="BB37" s="4">
        <f>'Quotité d''autofinancement'!BB19</f>
        <v>5775.112062043796</v>
      </c>
      <c r="BC37" s="4">
        <f>'Quotité d''autofinancement'!BC19</f>
        <v>-3034.8407446808515</v>
      </c>
      <c r="BD37" s="4">
        <f>'Quotité d''autofinancement'!BD19</f>
        <v>6351.1389306807578</v>
      </c>
      <c r="BE37" s="4">
        <f>'Quotité d''autofinancement'!BE19</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557</v>
      </c>
      <c r="D39" s="131">
        <f>'Quotité d''autofinancement'!D28</f>
        <v>10.654101135080721</v>
      </c>
      <c r="E39" s="4">
        <f>'Quotité d''autofinancement'!E28</f>
        <v>25.10164220756695</v>
      </c>
      <c r="F39" s="4">
        <f>'Quotité d''autofinancement'!F28</f>
        <v>28.998061425529741</v>
      </c>
      <c r="G39" s="4">
        <f>'Quotité d''autofinancement'!G28</f>
        <v>-5.3676389921461896</v>
      </c>
      <c r="H39" s="4">
        <f>'Quotité d''autofinancement'!H28</f>
        <v>18.365644224606971</v>
      </c>
      <c r="I39" s="4">
        <f>'Quotité d''autofinancement'!I28</f>
        <v>2.1890493442710442E-3</v>
      </c>
      <c r="J39" s="4">
        <f>'Quotité d''autofinancement'!J28</f>
        <v>19.993360087419742</v>
      </c>
      <c r="K39" s="4">
        <f>'Quotité d''autofinancement'!K28</f>
        <v>6.8834249326838224</v>
      </c>
      <c r="L39" s="4">
        <f>'Quotité d''autofinancement'!L28</f>
        <v>4.0598128846991139</v>
      </c>
      <c r="M39" s="4">
        <f>'Quotité d''autofinancement'!M28</f>
        <v>1.3324573514410587</v>
      </c>
      <c r="N39" s="4" t="e">
        <f>'Quotité d''autofinancement'!N28</f>
        <v>#VALUE!</v>
      </c>
      <c r="O39" s="4">
        <f>'Quotité d''autofinancement'!O28</f>
        <v>-2.4880831589213752</v>
      </c>
      <c r="P39" s="4">
        <f>'Quotité d''autofinancement'!P28</f>
        <v>5.3929429663759745</v>
      </c>
      <c r="Q39" s="4">
        <f>'Quotité d''autofinancement'!Q28</f>
        <v>-39.123522493587991</v>
      </c>
      <c r="R39" s="4">
        <f>'Quotité d''autofinancement'!R28</f>
        <v>6.5176456542176506</v>
      </c>
      <c r="S39" s="4">
        <f>'Quotité d''autofinancement'!S28</f>
        <v>7.536027175752305</v>
      </c>
      <c r="T39" s="4">
        <f>'Quotité d''autofinancement'!T28</f>
        <v>9.0991224808362379</v>
      </c>
      <c r="U39" s="4">
        <f>'Quotité d''autofinancement'!U28</f>
        <v>5.2396803077971157</v>
      </c>
      <c r="V39" s="4">
        <f>'Quotité d''autofinancement'!V28</f>
        <v>-0.30677577627973046</v>
      </c>
      <c r="W39" s="4">
        <f>'Quotité d''autofinancement'!W28</f>
        <v>14.944614433636403</v>
      </c>
      <c r="X39" s="4">
        <f>'Quotité d''autofinancement'!X28</f>
        <v>17.801725001207572</v>
      </c>
      <c r="Y39" s="4">
        <f>'Quotité d''autofinancement'!Y28</f>
        <v>8.2046222036020424</v>
      </c>
      <c r="Z39" s="4">
        <f>'Quotité d''autofinancement'!Z28</f>
        <v>37.964751398159464</v>
      </c>
      <c r="AA39" s="4">
        <f>'Quotité d''autofinancement'!AA28</f>
        <v>87.853343017549363</v>
      </c>
      <c r="AB39" s="4">
        <f>'Quotité d''autofinancement'!AB28</f>
        <v>-3.2138394841219928</v>
      </c>
      <c r="AC39" s="4">
        <f>'Quotité d''autofinancement'!AC28</f>
        <v>-32.487674015264901</v>
      </c>
      <c r="AD39" s="4">
        <f>'Quotité d''autofinancement'!AD28</f>
        <v>-17.083624234111038</v>
      </c>
      <c r="AE39" s="4">
        <f>'Quotité d''autofinancement'!AE28</f>
        <v>-4.0172033797898301</v>
      </c>
      <c r="AF39" s="4">
        <f>'Quotité d''autofinancement'!AF28</f>
        <v>36.767171247791509</v>
      </c>
      <c r="AG39" s="4">
        <f>'Quotité d''autofinancement'!AG28</f>
        <v>19.189210648507622</v>
      </c>
      <c r="AH39" s="4">
        <f>'Quotité d''autofinancement'!AH28</f>
        <v>15.0373076675549</v>
      </c>
      <c r="AI39" s="4">
        <f>'Quotité d''autofinancement'!AI28</f>
        <v>38.333665601395126</v>
      </c>
      <c r="AJ39" s="4">
        <f>'Quotité d''autofinancement'!AJ28</f>
        <v>-11.456818161667643</v>
      </c>
      <c r="AK39" s="4">
        <f>'Quotité d''autofinancement'!AK28</f>
        <v>1.4420799953506909</v>
      </c>
      <c r="AL39" s="4">
        <f>'Quotité d''autofinancement'!AL28</f>
        <v>14.147983502317283</v>
      </c>
      <c r="AM39" s="4">
        <f>'Quotité d''autofinancement'!AM28</f>
        <v>2.5261587453015304</v>
      </c>
      <c r="AN39" s="4">
        <f>'Quotité d''autofinancement'!AN28</f>
        <v>10.146082527862486</v>
      </c>
      <c r="AO39" s="4">
        <f>'Quotité d''autofinancement'!AO28</f>
        <v>9.5896444839914476</v>
      </c>
      <c r="AP39" s="4">
        <f>'Quotité d''autofinancement'!AP28</f>
        <v>28.574623376074264</v>
      </c>
      <c r="AQ39" s="4">
        <f>'Quotité d''autofinancement'!AQ28</f>
        <v>15.421670697216872</v>
      </c>
      <c r="AR39" s="4">
        <f>'Quotité d''autofinancement'!AR28</f>
        <v>22.706995009798504</v>
      </c>
      <c r="AS39" s="4">
        <f>'Quotité d''autofinancement'!AS28</f>
        <v>10.879525846503935</v>
      </c>
      <c r="AT39" s="4">
        <f>'Quotité d''autofinancement'!AT28</f>
        <v>2.156118601353481</v>
      </c>
      <c r="AU39" s="4">
        <f>'Quotité d''autofinancement'!AU28</f>
        <v>60.179112719543213</v>
      </c>
      <c r="AV39" s="4">
        <f>'Quotité d''autofinancement'!AV28</f>
        <v>-14.851375279152748</v>
      </c>
      <c r="AW39" s="4">
        <f>'Quotité d''autofinancement'!AW28</f>
        <v>1.8642715363077136</v>
      </c>
      <c r="AX39" s="4">
        <f>'Quotité d''autofinancement'!AX28</f>
        <v>0.37329112383579194</v>
      </c>
      <c r="AY39" s="4">
        <f>'Quotité d''autofinancement'!AY28</f>
        <v>24.9968135364627</v>
      </c>
      <c r="AZ39" s="4">
        <f>'Quotité d''autofinancement'!AZ28</f>
        <v>13.805810867707594</v>
      </c>
      <c r="BA39" s="4">
        <f>'Quotité d''autofinancement'!BA28</f>
        <v>25.71053376390477</v>
      </c>
      <c r="BB39" s="4">
        <f>'Quotité d''autofinancement'!BB28</f>
        <v>21.295298713274121</v>
      </c>
      <c r="BC39" s="4">
        <f>'Quotité d''autofinancement'!BC28</f>
        <v>2.9847576711010357</v>
      </c>
      <c r="BD39" s="4">
        <f>'Quotité d''autofinancement'!BD28</f>
        <v>16.549327459200917</v>
      </c>
      <c r="BE39" s="4">
        <f>'Quotité d''autofinancement'!BE28</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561</v>
      </c>
      <c r="D41" s="131">
        <f>'Quotité d''autofinancement'!D48</f>
        <v>-0.49986973569250925</v>
      </c>
      <c r="E41" s="4">
        <f>'Quotité d''autofinancement'!E48</f>
        <v>-0.61835504459007262</v>
      </c>
      <c r="F41" s="4">
        <f>'Quotité d''autofinancement'!F48</f>
        <v>2.6479099034215912</v>
      </c>
      <c r="G41" s="4">
        <f>'Quotité d''autofinancement'!G48</f>
        <v>-0.47435089943930031</v>
      </c>
      <c r="H41" s="4">
        <f>'Quotité d''autofinancement'!H48</f>
        <v>-0.34443921149836265</v>
      </c>
      <c r="I41" s="4">
        <f>'Quotité d''autofinancement'!I48</f>
        <v>-5.397780237581193</v>
      </c>
      <c r="J41" s="4">
        <f>'Quotité d''autofinancement'!J48</f>
        <v>0.99121749555925076</v>
      </c>
      <c r="K41" s="4">
        <f>'Quotité d''autofinancement'!K48</f>
        <v>0.27475931728989472</v>
      </c>
      <c r="L41" s="4">
        <f>'Quotité d''autofinancement'!L48</f>
        <v>-0.43029233393941796</v>
      </c>
      <c r="M41" s="4">
        <f>'Quotité d''autofinancement'!M48</f>
        <v>4.1171688210509934E-2</v>
      </c>
      <c r="N41" s="4" t="e">
        <f>'Quotité d''autofinancement'!N48</f>
        <v>#VALUE!</v>
      </c>
      <c r="O41" s="4">
        <f>'Quotité d''autofinancement'!O48</f>
        <v>0.68919211892267274</v>
      </c>
      <c r="P41" s="4">
        <f>'Quotité d''autofinancement'!P48</f>
        <v>1.0524828364752012</v>
      </c>
      <c r="Q41" s="4">
        <f>'Quotité d''autofinancement'!Q48</f>
        <v>-2.4901332157096392</v>
      </c>
      <c r="R41" s="4">
        <f>'Quotité d''autofinancement'!R48</f>
        <v>0.97214500605342391</v>
      </c>
      <c r="S41" s="4">
        <f>'Quotité d''autofinancement'!S48</f>
        <v>6.3342830510079144</v>
      </c>
      <c r="T41" s="4">
        <f>'Quotité d''autofinancement'!T48</f>
        <v>1.6065951956240987</v>
      </c>
      <c r="U41" s="4">
        <f>'Quotité d''autofinancement'!U48</f>
        <v>-1.7733384657406683</v>
      </c>
      <c r="V41" s="4">
        <f>'Quotité d''autofinancement'!V48</f>
        <v>2.2226388551243841</v>
      </c>
      <c r="W41" s="4">
        <f>'Quotité d''autofinancement'!W48</f>
        <v>-1.1368104852848662</v>
      </c>
      <c r="X41" s="4">
        <f>'Quotité d''autofinancement'!X48</f>
        <v>2.6700961479576211E-2</v>
      </c>
      <c r="Y41" s="4">
        <f>'Quotité d''autofinancement'!Y48</f>
        <v>2.0713462472600286</v>
      </c>
      <c r="Z41" s="4">
        <f>'Quotité d''autofinancement'!Z48</f>
        <v>3.4140192614827071E-2</v>
      </c>
      <c r="AA41" s="4">
        <f>'Quotité d''autofinancement'!AA48</f>
        <v>-4.3289369536023337</v>
      </c>
      <c r="AB41" s="4">
        <f>'Quotité d''autofinancement'!AB48</f>
        <v>-4.4624582205118255</v>
      </c>
      <c r="AC41" s="4">
        <f>'Quotité d''autofinancement'!AC48</f>
        <v>0.32256309814869116</v>
      </c>
      <c r="AD41" s="4">
        <f>'Quotité d''autofinancement'!AD48</f>
        <v>-4.8933377718056548</v>
      </c>
      <c r="AE41" s="4">
        <f>'Quotité d''autofinancement'!AE48</f>
        <v>-1.614874686712894</v>
      </c>
      <c r="AF41" s="4">
        <f>'Quotité d''autofinancement'!AF48</f>
        <v>-2.3795868196753434</v>
      </c>
      <c r="AG41" s="4">
        <f>'Quotité d''autofinancement'!AG48</f>
        <v>1.1482295441985918E-2</v>
      </c>
      <c r="AH41" s="4">
        <f>'Quotité d''autofinancement'!AH48</f>
        <v>0.57385401428597638</v>
      </c>
      <c r="AI41" s="4">
        <f>'Quotité d''autofinancement'!AI48</f>
        <v>1.6242109830556417</v>
      </c>
      <c r="AJ41" s="4">
        <f>'Quotité d''autofinancement'!AJ48</f>
        <v>-1.0041697415242847</v>
      </c>
      <c r="AK41" s="4">
        <f>'Quotité d''autofinancement'!AK48</f>
        <v>1.7780488706639779</v>
      </c>
      <c r="AL41" s="4">
        <f>'Quotité d''autofinancement'!AL48</f>
        <v>-5.732777554373877</v>
      </c>
      <c r="AM41" s="4">
        <f>'Quotité d''autofinancement'!AM48</f>
        <v>1.4904041699502613</v>
      </c>
      <c r="AN41" s="4">
        <f>'Quotité d''autofinancement'!AN48</f>
        <v>3.4126225596261071</v>
      </c>
      <c r="AO41" s="4">
        <f>'Quotité d''autofinancement'!AO48</f>
        <v>-0.81976153386833506</v>
      </c>
      <c r="AP41" s="4">
        <f>'Quotité d''autofinancement'!AP48</f>
        <v>0.37628239393761437</v>
      </c>
      <c r="AQ41" s="4">
        <f>'Quotité d''autofinancement'!AQ48</f>
        <v>1.3774946370212668</v>
      </c>
      <c r="AR41" s="4">
        <f>'Quotité d''autofinancement'!AR48</f>
        <v>-8.1282371951500938</v>
      </c>
      <c r="AS41" s="4">
        <f>'Quotité d''autofinancement'!AS48</f>
        <v>-5.08274635583658</v>
      </c>
      <c r="AT41" s="4">
        <f>'Quotité d''autofinancement'!AT48</f>
        <v>5.2809038779647328E-2</v>
      </c>
      <c r="AU41" s="4">
        <f>'Quotité d''autofinancement'!AU48</f>
        <v>-0.32519913808361622</v>
      </c>
      <c r="AV41" s="4">
        <f>'Quotité d''autofinancement'!AV48</f>
        <v>2.5024438796371458</v>
      </c>
      <c r="AW41" s="4">
        <f>'Quotité d''autofinancement'!AW48</f>
        <v>-0.10782544415512418</v>
      </c>
      <c r="AX41" s="4">
        <f>'Quotité d''autofinancement'!AX48</f>
        <v>-1.0871514162913094</v>
      </c>
      <c r="AY41" s="4">
        <f>'Quotité d''autofinancement'!AY48</f>
        <v>-3.9309294528324323</v>
      </c>
      <c r="AZ41" s="4">
        <f>'Quotité d''autofinancement'!AZ48</f>
        <v>2.0724646938734366</v>
      </c>
      <c r="BA41" s="4">
        <f>'Quotité d''autofinancement'!BA48</f>
        <v>-3.3422065977215309</v>
      </c>
      <c r="BB41" s="4">
        <f>'Quotité d''autofinancement'!BB48</f>
        <v>-2.0592453560740736</v>
      </c>
      <c r="BC41" s="4">
        <f>'Quotité d''autofinancement'!BC48</f>
        <v>-1.8379466662706283</v>
      </c>
      <c r="BD41" s="4">
        <f>'Quotité d''autofinancement'!BD48</f>
        <v>-1.639107901842753</v>
      </c>
      <c r="BE41" s="4">
        <f>'Quotité d''autofinancement'!BE48</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583</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25">
      <c r="A45" t="s">
        <v>585</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20"/>
      <c r="B6" s="220"/>
      <c r="C6" s="220"/>
      <c r="D6" s="220"/>
    </row>
    <row r="7" spans="1:8" ht="18.75" x14ac:dyDescent="0.3">
      <c r="A7" s="220"/>
      <c r="B7" s="220"/>
      <c r="C7" s="220"/>
      <c r="D7" s="220"/>
    </row>
    <row r="8" spans="1:8" ht="18.75" x14ac:dyDescent="0.3">
      <c r="A8" s="220" t="s">
        <v>505</v>
      </c>
      <c r="B8" s="220"/>
      <c r="C8" s="220"/>
      <c r="D8" s="220"/>
      <c r="E8" s="220"/>
      <c r="F8" s="220"/>
      <c r="G8" s="220"/>
      <c r="H8" s="220"/>
    </row>
    <row r="9" spans="1:8" ht="18.75" x14ac:dyDescent="0.3">
      <c r="A9" s="156"/>
      <c r="B9" s="156"/>
      <c r="C9" s="156"/>
      <c r="D9" s="156"/>
      <c r="E9" s="156"/>
      <c r="F9" s="156"/>
      <c r="G9" s="156"/>
      <c r="H9" s="156"/>
    </row>
    <row r="10" spans="1:8" ht="15.75" thickBot="1" x14ac:dyDescent="0.3">
      <c r="B10" s="227" t="s">
        <v>597</v>
      </c>
      <c r="C10" s="227"/>
      <c r="D10" s="227"/>
    </row>
    <row r="11" spans="1:8" ht="15.75" thickBot="1" x14ac:dyDescent="0.3">
      <c r="A11" s="157" t="s">
        <v>584</v>
      </c>
      <c r="B11" s="214" t="s">
        <v>16</v>
      </c>
      <c r="C11" s="215"/>
      <c r="D11" s="216"/>
      <c r="F11" s="110"/>
    </row>
    <row r="12" spans="1:8" ht="15.75" thickBot="1" x14ac:dyDescent="0.3">
      <c r="E12" s="7"/>
      <c r="H12" s="117"/>
    </row>
    <row r="13" spans="1:8" ht="15.75" thickBot="1" x14ac:dyDescent="0.3">
      <c r="A13" s="224" t="s">
        <v>577</v>
      </c>
      <c r="B13" s="225"/>
      <c r="C13" s="225"/>
      <c r="D13" s="226"/>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60" t="s">
        <v>599</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60" t="s">
        <v>600</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558</v>
      </c>
      <c r="D28" s="131">
        <f>HLOOKUP($B$11,Récapitulatif!E10:BE43,15,0)</f>
        <v>4085388.59</v>
      </c>
      <c r="E28" s="7"/>
      <c r="H28" s="133"/>
    </row>
    <row r="29" spans="1:8" ht="15.75" thickBot="1" x14ac:dyDescent="0.3">
      <c r="D29" s="4"/>
      <c r="H29" s="132"/>
    </row>
    <row r="30" spans="1:8" ht="15.75" thickBot="1" x14ac:dyDescent="0.3">
      <c r="A30" t="s">
        <v>579</v>
      </c>
      <c r="D30" s="131">
        <f>HLOOKUP($B$11,Récapitulatif!E10:BE43,17,0)</f>
        <v>-1473.5315391598212</v>
      </c>
      <c r="H30" s="132"/>
    </row>
    <row r="31" spans="1:8" ht="15.75" thickBot="1" x14ac:dyDescent="0.3">
      <c r="D31" s="4"/>
    </row>
    <row r="32" spans="1:8" ht="15.75" thickBot="1" x14ac:dyDescent="0.3">
      <c r="A32" s="7" t="s">
        <v>580</v>
      </c>
      <c r="D32" s="131">
        <f>HLOOKUP($B$11,Récapitulatif!E10:BE43,20,0)</f>
        <v>2.4316799166573313</v>
      </c>
    </row>
    <row r="33" spans="1:4" ht="15.75" thickBot="1" x14ac:dyDescent="0.3">
      <c r="D33" s="4"/>
    </row>
    <row r="34" spans="1:4" ht="15.75" thickBot="1" x14ac:dyDescent="0.3">
      <c r="A34" s="7" t="s">
        <v>581</v>
      </c>
      <c r="D34" s="131">
        <f>HLOOKUP($B$11,Récapitulatif!E10:BE43,22,0)</f>
        <v>262.10478939943715</v>
      </c>
    </row>
    <row r="35" spans="1:4" ht="15.75" thickBot="1" x14ac:dyDescent="0.3">
      <c r="D35" s="4"/>
    </row>
    <row r="36" spans="1:4" ht="15.75" thickBot="1" x14ac:dyDescent="0.3">
      <c r="A36" s="7" t="s">
        <v>539</v>
      </c>
      <c r="D36" s="131">
        <f>HLOOKUP($B$11,Récapitulatif!E10:BE43,24,0)</f>
        <v>8.1188239344089208</v>
      </c>
    </row>
    <row r="37" spans="1:4" ht="15.75" thickBot="1" x14ac:dyDescent="0.3">
      <c r="B37" s="110"/>
      <c r="D37" s="119"/>
    </row>
    <row r="38" spans="1:4" ht="15.75" thickBot="1" x14ac:dyDescent="0.3">
      <c r="A38" s="7" t="s">
        <v>582</v>
      </c>
      <c r="D38" s="131">
        <f>HLOOKUP($B$11,Récapitulatif!E10:BE43,26,0)</f>
        <v>14.948587244369516</v>
      </c>
    </row>
    <row r="39" spans="1:4" ht="15.75" thickBot="1" x14ac:dyDescent="0.3">
      <c r="D39" s="4"/>
    </row>
    <row r="40" spans="1:4" ht="15.75" thickBot="1" x14ac:dyDescent="0.3">
      <c r="A40" s="7" t="s">
        <v>553</v>
      </c>
      <c r="D40" s="131">
        <f>HLOOKUP($B$11,Récapitulatif!E10:BE43,28,0)</f>
        <v>6351.1389306807578</v>
      </c>
    </row>
    <row r="41" spans="1:4" ht="15.75" thickBot="1" x14ac:dyDescent="0.3">
      <c r="D41" s="132"/>
    </row>
    <row r="42" spans="1:4" ht="15.75" thickBot="1" x14ac:dyDescent="0.3">
      <c r="A42" s="7" t="s">
        <v>557</v>
      </c>
      <c r="D42" s="131">
        <f>HLOOKUP($B$11,Récapitulatif!E10:BE43,30,0)</f>
        <v>16.549327459200917</v>
      </c>
    </row>
    <row r="43" spans="1:4" ht="15.75" thickBot="1" x14ac:dyDescent="0.3">
      <c r="D43" s="132"/>
    </row>
    <row r="44" spans="1:4" ht="15.75" thickBot="1" x14ac:dyDescent="0.3">
      <c r="A44" s="7" t="s">
        <v>561</v>
      </c>
      <c r="D44" s="131">
        <f>HLOOKUP($B$11,Récapitulatif!E10:BE43,32,0)</f>
        <v>-1.639107901842753</v>
      </c>
    </row>
    <row r="45" spans="1:4" ht="15.75" thickBot="1" x14ac:dyDescent="0.3">
      <c r="D45" s="4"/>
    </row>
    <row r="46" spans="1:4" ht="15.75" thickBot="1" x14ac:dyDescent="0.3">
      <c r="A46" s="7" t="s">
        <v>583</v>
      </c>
      <c r="D46" s="131">
        <f>HLOOKUP($B$11,Récapitulatif!E10:BE43,34,0)</f>
        <v>6.7979545950389477</v>
      </c>
    </row>
    <row r="48" spans="1:4" x14ac:dyDescent="0.25">
      <c r="A48" s="160" t="s">
        <v>585</v>
      </c>
    </row>
    <row r="51" spans="1:3" x14ac:dyDescent="0.25">
      <c r="A51" s="159" t="s">
        <v>598</v>
      </c>
      <c r="B51" s="198" t="s">
        <v>783</v>
      </c>
      <c r="C51" s="158"/>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3" t="s">
        <v>768</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596</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4">
        <f t="shared" ref="E160:R160" si="35">E157-E159</f>
        <v>-1.127773430198431E-10</v>
      </c>
      <c r="F160" s="154">
        <f t="shared" si="35"/>
        <v>0</v>
      </c>
      <c r="G160" s="154">
        <f t="shared" si="35"/>
        <v>5.2295945351943374E-12</v>
      </c>
      <c r="H160" s="154">
        <f t="shared" si="35"/>
        <v>0</v>
      </c>
      <c r="I160" s="154">
        <f t="shared" si="35"/>
        <v>-5.8207660913467407E-11</v>
      </c>
      <c r="J160" s="154">
        <f t="shared" si="35"/>
        <v>0</v>
      </c>
      <c r="K160" s="154">
        <f t="shared" si="35"/>
        <v>0</v>
      </c>
      <c r="L160" s="154">
        <f t="shared" si="35"/>
        <v>0</v>
      </c>
      <c r="M160" s="154">
        <f t="shared" si="35"/>
        <v>0</v>
      </c>
      <c r="N160" s="154">
        <f t="shared" si="35"/>
        <v>0</v>
      </c>
      <c r="O160" s="154">
        <f t="shared" si="35"/>
        <v>0</v>
      </c>
      <c r="P160" s="154">
        <f t="shared" si="35"/>
        <v>0</v>
      </c>
      <c r="Q160" s="154">
        <f t="shared" si="35"/>
        <v>0</v>
      </c>
      <c r="R160" s="154">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607</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608</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771</v>
      </c>
      <c r="D5" s="175" t="s">
        <v>28</v>
      </c>
    </row>
    <row r="7" spans="1:5" x14ac:dyDescent="0.25">
      <c r="E7" s="65" t="s">
        <v>205</v>
      </c>
    </row>
    <row r="8" spans="1:5" ht="21" x14ac:dyDescent="0.35">
      <c r="A8" s="92">
        <v>3</v>
      </c>
      <c r="B8" s="92"/>
      <c r="C8" s="92"/>
      <c r="D8" s="92" t="s">
        <v>60</v>
      </c>
      <c r="E8" s="172">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596</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3">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B4" activePane="bottomRight" state="frozen"/>
      <selection pane="topRight" activeCell="E1" sqref="E1"/>
      <selection pane="bottomLeft" activeCell="A4" sqref="A4"/>
      <selection pane="bottomRight" activeCell="BF138" sqref="BF138"/>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596</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2">
        <f>E154+E155</f>
        <v>338069</v>
      </c>
      <c r="F157" s="182">
        <f t="shared" ref="F157:BI157" si="102">F154+F155</f>
        <v>183367.53000000003</v>
      </c>
      <c r="G157" s="182">
        <f t="shared" si="102"/>
        <v>-29321.279999999999</v>
      </c>
      <c r="H157" s="182">
        <f t="shared" si="102"/>
        <v>21653.66</v>
      </c>
      <c r="I157" s="182">
        <f t="shared" si="102"/>
        <v>461623.62999999995</v>
      </c>
      <c r="J157" s="182">
        <f t="shared" si="102"/>
        <v>1051215.94</v>
      </c>
      <c r="K157" s="182">
        <f t="shared" si="102"/>
        <v>253856.48</v>
      </c>
      <c r="L157" s="182">
        <f t="shared" si="102"/>
        <v>2089673.1800000002</v>
      </c>
      <c r="M157" s="182">
        <f t="shared" si="102"/>
        <v>-1352.8600000000151</v>
      </c>
      <c r="N157" s="182">
        <f t="shared" si="102"/>
        <v>-63918.92</v>
      </c>
      <c r="O157" s="182">
        <f t="shared" si="102"/>
        <v>-1177403.47</v>
      </c>
      <c r="P157" s="182">
        <f t="shared" si="102"/>
        <v>-93731.8</v>
      </c>
      <c r="Q157" s="182">
        <f t="shared" si="102"/>
        <v>-9460.8100000000013</v>
      </c>
      <c r="R157" s="182">
        <f t="shared" si="102"/>
        <v>-16853.579999999998</v>
      </c>
      <c r="S157" s="182">
        <f t="shared" si="102"/>
        <v>-13071.369999999995</v>
      </c>
      <c r="T157" s="182">
        <f t="shared" si="102"/>
        <v>262757.42</v>
      </c>
      <c r="U157" s="182">
        <f t="shared" si="102"/>
        <v>9048.7099999999991</v>
      </c>
      <c r="V157" s="182">
        <f t="shared" si="102"/>
        <v>-152377.16</v>
      </c>
      <c r="W157" s="182">
        <f t="shared" si="102"/>
        <v>364711.41000000003</v>
      </c>
      <c r="X157" s="182">
        <f t="shared" si="102"/>
        <v>26286.14</v>
      </c>
      <c r="Y157" s="182">
        <f t="shared" si="102"/>
        <v>178997.68</v>
      </c>
      <c r="Z157" s="182">
        <f t="shared" si="102"/>
        <v>3517719.9899999998</v>
      </c>
      <c r="AA157" s="182">
        <f t="shared" si="102"/>
        <v>-11170.27</v>
      </c>
      <c r="AB157" s="182">
        <f t="shared" si="102"/>
        <v>41421.78</v>
      </c>
      <c r="AC157" s="182">
        <f t="shared" si="102"/>
        <v>-114596.97</v>
      </c>
      <c r="AD157" s="182">
        <f t="shared" si="102"/>
        <v>-99000.459999999992</v>
      </c>
      <c r="AE157" s="182">
        <f t="shared" si="102"/>
        <v>-194273.68</v>
      </c>
      <c r="AF157" s="182">
        <f t="shared" si="102"/>
        <v>122538.76</v>
      </c>
      <c r="AG157" s="182">
        <f t="shared" si="102"/>
        <v>1107210.3</v>
      </c>
      <c r="AH157" s="182">
        <f t="shared" si="102"/>
        <v>243887.35</v>
      </c>
      <c r="AI157" s="182">
        <f t="shared" si="102"/>
        <v>-5355.96</v>
      </c>
      <c r="AJ157" s="182">
        <f t="shared" si="102"/>
        <v>22586.400000000001</v>
      </c>
      <c r="AK157" s="182">
        <f t="shared" si="102"/>
        <v>153720</v>
      </c>
      <c r="AL157" s="182">
        <f t="shared" si="102"/>
        <v>-32824.589999999997</v>
      </c>
      <c r="AM157" s="182">
        <f t="shared" si="102"/>
        <v>-5589.7700000000041</v>
      </c>
      <c r="AN157" s="182">
        <f t="shared" si="102"/>
        <v>13711.05</v>
      </c>
      <c r="AO157" s="182">
        <f t="shared" si="102"/>
        <v>341994.52</v>
      </c>
      <c r="AP157" s="182">
        <f t="shared" si="102"/>
        <v>197653.74000000002</v>
      </c>
      <c r="AQ157" s="182">
        <f t="shared" si="102"/>
        <v>23915.769999999997</v>
      </c>
      <c r="AR157" s="182">
        <f t="shared" si="102"/>
        <v>50671.79</v>
      </c>
      <c r="AS157" s="182">
        <f t="shared" si="102"/>
        <v>52551.100000000006</v>
      </c>
      <c r="AT157" s="182">
        <f t="shared" si="102"/>
        <v>35118.03</v>
      </c>
      <c r="AU157" s="182">
        <f t="shared" si="102"/>
        <v>112815.42</v>
      </c>
      <c r="AV157" s="182">
        <f t="shared" si="102"/>
        <v>-268507.58</v>
      </c>
      <c r="AW157" s="182">
        <f t="shared" si="102"/>
        <v>-9064.0300000000025</v>
      </c>
      <c r="AX157" s="182">
        <f t="shared" si="102"/>
        <v>29819.599999999999</v>
      </c>
      <c r="AY157" s="182">
        <f t="shared" si="102"/>
        <v>73689.049999999988</v>
      </c>
      <c r="AZ157" s="182">
        <f t="shared" si="102"/>
        <v>79042.83</v>
      </c>
      <c r="BA157" s="182">
        <f t="shared" si="102"/>
        <v>160878.04999999999</v>
      </c>
      <c r="BB157" s="182">
        <f t="shared" si="102"/>
        <v>192186.95</v>
      </c>
      <c r="BC157" s="182">
        <f t="shared" si="102"/>
        <v>-14911.230000000001</v>
      </c>
      <c r="BD157" s="182">
        <f t="shared" si="102"/>
        <v>1253727.51</v>
      </c>
      <c r="BE157" s="182">
        <f t="shared" si="102"/>
        <v>49199.93</v>
      </c>
      <c r="BF157" s="182">
        <f t="shared" si="102"/>
        <v>10804534.910000002</v>
      </c>
      <c r="BG157" s="182">
        <f t="shared" si="102"/>
        <v>3478485.71</v>
      </c>
      <c r="BH157" s="182">
        <f t="shared" si="102"/>
        <v>4836251.0600000005</v>
      </c>
      <c r="BI157" s="182">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4">
        <f t="shared" ref="E160:AJ160" si="105">E157-E159</f>
        <v>-4.6566128730773926E-10</v>
      </c>
      <c r="F160" s="154">
        <f t="shared" si="105"/>
        <v>-2.3283064365386963E-10</v>
      </c>
      <c r="G160" s="154">
        <f t="shared" si="105"/>
        <v>-2.0372681319713593E-10</v>
      </c>
      <c r="H160" s="154">
        <f t="shared" si="105"/>
        <v>-1.4915713109076023E-10</v>
      </c>
      <c r="I160" s="154">
        <f t="shared" si="105"/>
        <v>-2.7357600629329681E-9</v>
      </c>
      <c r="J160" s="154">
        <f t="shared" si="105"/>
        <v>0</v>
      </c>
      <c r="K160" s="154">
        <f t="shared" si="105"/>
        <v>-4.3655745685100555E-10</v>
      </c>
      <c r="L160" s="154">
        <f t="shared" si="105"/>
        <v>-6.9849193096160889E-9</v>
      </c>
      <c r="M160" s="154">
        <f t="shared" si="105"/>
        <v>-6.1118043959140778E-10</v>
      </c>
      <c r="N160" s="154">
        <f t="shared" si="105"/>
        <v>0</v>
      </c>
      <c r="O160" s="154">
        <f t="shared" si="105"/>
        <v>2.5611370801925659E-9</v>
      </c>
      <c r="P160" s="154">
        <f t="shared" si="105"/>
        <v>0</v>
      </c>
      <c r="Q160" s="154">
        <f t="shared" si="105"/>
        <v>0</v>
      </c>
      <c r="R160" s="154">
        <f t="shared" si="105"/>
        <v>-1.5643308870494366E-10</v>
      </c>
      <c r="S160" s="154">
        <f t="shared" si="105"/>
        <v>1.1641532182693481E-10</v>
      </c>
      <c r="T160" s="154">
        <f t="shared" si="105"/>
        <v>0</v>
      </c>
      <c r="U160" s="154">
        <f t="shared" si="105"/>
        <v>3.637978807091713E-11</v>
      </c>
      <c r="V160" s="154">
        <f t="shared" si="105"/>
        <v>6.1118043959140778E-10</v>
      </c>
      <c r="W160" s="154">
        <f t="shared" si="105"/>
        <v>0</v>
      </c>
      <c r="X160" s="154">
        <f t="shared" si="105"/>
        <v>-3.637978807091713E-10</v>
      </c>
      <c r="Y160" s="154">
        <f t="shared" si="105"/>
        <v>2.9103830456733704E-10</v>
      </c>
      <c r="Z160" s="154">
        <f t="shared" si="105"/>
        <v>0</v>
      </c>
      <c r="AA160" s="154">
        <f t="shared" si="105"/>
        <v>1.8189894035458565E-11</v>
      </c>
      <c r="AB160" s="154">
        <f t="shared" si="105"/>
        <v>0</v>
      </c>
      <c r="AC160" s="154">
        <f t="shared" si="105"/>
        <v>1.1350493878126144E-9</v>
      </c>
      <c r="AD160" s="154">
        <f t="shared" si="105"/>
        <v>1.8335413187742233E-9</v>
      </c>
      <c r="AE160" s="154">
        <f t="shared" si="105"/>
        <v>-2.9103830456733704E-10</v>
      </c>
      <c r="AF160" s="154">
        <f t="shared" si="105"/>
        <v>2.1827872842550278E-10</v>
      </c>
      <c r="AG160" s="154">
        <f t="shared" si="105"/>
        <v>-2.5611370801925659E-9</v>
      </c>
      <c r="AH160" s="154">
        <f t="shared" si="105"/>
        <v>2.2409949451684952E-9</v>
      </c>
      <c r="AI160" s="154">
        <f t="shared" si="105"/>
        <v>-3.7289282772690058E-11</v>
      </c>
      <c r="AJ160" s="154">
        <f t="shared" si="105"/>
        <v>0</v>
      </c>
      <c r="AK160" s="154">
        <f t="shared" ref="AK160:BI160" si="106">AK157-AK159</f>
        <v>-9.3132257461547852E-10</v>
      </c>
      <c r="AL160" s="154">
        <f t="shared" si="106"/>
        <v>1.7171259969472885E-9</v>
      </c>
      <c r="AM160" s="154">
        <f t="shared" si="106"/>
        <v>4.8021320253610611E-10</v>
      </c>
      <c r="AN160" s="154">
        <f t="shared" si="106"/>
        <v>6.9121597334742546E-11</v>
      </c>
      <c r="AO160" s="154">
        <f t="shared" si="106"/>
        <v>-4.6566128730773926E-10</v>
      </c>
      <c r="AP160" s="154">
        <f t="shared" si="106"/>
        <v>-6.6938810050487518E-10</v>
      </c>
      <c r="AQ160" s="154">
        <f t="shared" si="106"/>
        <v>4.4383341446518898E-10</v>
      </c>
      <c r="AR160" s="154">
        <f t="shared" si="106"/>
        <v>-9.6770236268639565E-10</v>
      </c>
      <c r="AS160" s="154">
        <f t="shared" si="106"/>
        <v>-8.7311491370201111E-11</v>
      </c>
      <c r="AT160" s="154">
        <f t="shared" si="106"/>
        <v>-2.6193447411060333E-10</v>
      </c>
      <c r="AU160" s="154">
        <f t="shared" si="106"/>
        <v>0</v>
      </c>
      <c r="AV160" s="154">
        <f t="shared" si="106"/>
        <v>0</v>
      </c>
      <c r="AW160" s="154">
        <f t="shared" si="106"/>
        <v>-2.0736479200422764E-10</v>
      </c>
      <c r="AX160" s="154">
        <f t="shared" si="106"/>
        <v>-9.4587448984384537E-11</v>
      </c>
      <c r="AY160" s="154">
        <f t="shared" si="106"/>
        <v>1.7462298274040222E-10</v>
      </c>
      <c r="AZ160" s="154">
        <f t="shared" si="106"/>
        <v>0</v>
      </c>
      <c r="BA160" s="154">
        <f t="shared" si="106"/>
        <v>0</v>
      </c>
      <c r="BB160" s="154">
        <f t="shared" si="106"/>
        <v>0</v>
      </c>
      <c r="BC160" s="154">
        <f t="shared" si="106"/>
        <v>9.6406438387930393E-11</v>
      </c>
      <c r="BD160" s="154">
        <f t="shared" si="106"/>
        <v>2.0954757928848267E-9</v>
      </c>
      <c r="BE160" s="154">
        <f t="shared" si="106"/>
        <v>-1.673470251262188E-10</v>
      </c>
      <c r="BF160" s="154">
        <f t="shared" si="106"/>
        <v>1.5459954738616943E-7</v>
      </c>
      <c r="BG160" s="154">
        <f t="shared" si="106"/>
        <v>-8.3819031715393066E-9</v>
      </c>
      <c r="BH160" s="154">
        <f t="shared" si="106"/>
        <v>0</v>
      </c>
      <c r="BI160" s="154">
        <f t="shared" si="106"/>
        <v>0</v>
      </c>
    </row>
    <row r="162" spans="3:61" x14ac:dyDescent="0.25">
      <c r="D162" s="69" t="s">
        <v>463</v>
      </c>
    </row>
    <row r="163" spans="3:6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C177" t="s">
        <v>606</v>
      </c>
      <c r="D177" t="s">
        <v>225</v>
      </c>
      <c r="E177" s="4">
        <f>'6. Investissements'!E182</f>
        <v>1441429.61</v>
      </c>
      <c r="F177" s="4">
        <f>'6. Investissements'!F182</f>
        <v>-213871.9</v>
      </c>
      <c r="G177" s="4">
        <f>'6. Investissements'!G182</f>
        <v>1711974.9000000004</v>
      </c>
      <c r="H177" s="4">
        <f>'6. Investissements'!H182</f>
        <v>-73816.650000000023</v>
      </c>
      <c r="I177" s="4">
        <f>'6. Investissements'!I182</f>
        <v>2181341.7800000003</v>
      </c>
      <c r="J177" s="4">
        <f>'6. Investissements'!J182</f>
        <v>1910540.2199999997</v>
      </c>
      <c r="K177" s="4">
        <f>'6. Investissements'!K182</f>
        <v>1074389.2400000002</v>
      </c>
      <c r="L177" s="4">
        <f>'6. Investissements'!L182</f>
        <v>14843351.189999998</v>
      </c>
      <c r="M177" s="4">
        <f>'6. Investissements'!M182</f>
        <v>259678.55</v>
      </c>
      <c r="N177" s="4">
        <f>'6. Investissements'!N182</f>
        <v>41267.75</v>
      </c>
      <c r="O177" s="4">
        <f>'6. Investissements'!O182</f>
        <v>2584951.25</v>
      </c>
      <c r="P177" s="4">
        <f>'6. Investissements'!P182</f>
        <v>31019.23000000001</v>
      </c>
      <c r="Q177" s="4">
        <f>'6. Investissements'!Q182</f>
        <v>0</v>
      </c>
      <c r="R177" s="4">
        <f>'6. Investissements'!R182</f>
        <v>19797.849999999999</v>
      </c>
      <c r="S177" s="4">
        <f>'6. Investissements'!S182</f>
        <v>171236.7</v>
      </c>
      <c r="T177" s="4">
        <f>'6. Investissements'!T182</f>
        <v>263158.75</v>
      </c>
      <c r="U177" s="4">
        <f>'6. Investissements'!U182</f>
        <v>114020.5</v>
      </c>
      <c r="V177" s="4">
        <f>'6. Investissements'!V182</f>
        <v>-95018.589999999967</v>
      </c>
      <c r="W177" s="4">
        <f>'6. Investissements'!W182</f>
        <v>340342.60000000033</v>
      </c>
      <c r="X177" s="4">
        <f>'6. Investissements'!X182</f>
        <v>67578.350000000006</v>
      </c>
      <c r="Y177" s="4">
        <f>'6. Investissements'!Y182</f>
        <v>-1037183.7999999998</v>
      </c>
      <c r="Z177" s="4">
        <f>'6. Investissements'!Z182</f>
        <v>503623.38</v>
      </c>
      <c r="AA177" s="4">
        <f>'6. Investissements'!AA182</f>
        <v>0</v>
      </c>
      <c r="AB177" s="4">
        <f>'6. Investissements'!AB182</f>
        <v>-43584.75</v>
      </c>
      <c r="AC177" s="4">
        <f>'6. Investissements'!AC182</f>
        <v>92793.8</v>
      </c>
      <c r="AD177" s="4">
        <f>'6. Investissements'!AD182</f>
        <v>563080.98</v>
      </c>
      <c r="AE177" s="4">
        <f>'6. Investissements'!AE182</f>
        <v>56302.700000000012</v>
      </c>
      <c r="AF177" s="4">
        <f>'6. Investissements'!AF182</f>
        <v>256378.40000000002</v>
      </c>
      <c r="AG177" s="4">
        <f>'6. Investissements'!AG182</f>
        <v>402753.39999999997</v>
      </c>
      <c r="AH177" s="4">
        <f>'6. Investissements'!AH182</f>
        <v>3937.6500000000233</v>
      </c>
      <c r="AI177" s="4">
        <f>'6. Investissements'!AI182</f>
        <v>9496.5499999999993</v>
      </c>
      <c r="AJ177" s="4">
        <f>'6. Investissements'!AJ182</f>
        <v>326865</v>
      </c>
      <c r="AK177" s="4">
        <f>'6. Investissements'!AK182</f>
        <v>2035877.68</v>
      </c>
      <c r="AL177" s="4">
        <f>'6. Investissements'!AL182</f>
        <v>713644.6</v>
      </c>
      <c r="AM177" s="4">
        <f>'6. Investissements'!AM182</f>
        <v>332171.75</v>
      </c>
      <c r="AN177" s="4">
        <f>'6. Investissements'!AN182</f>
        <v>562754</v>
      </c>
      <c r="AO177" s="4">
        <f>'6. Investissements'!AO182</f>
        <v>989111.14999999991</v>
      </c>
      <c r="AP177" s="4">
        <f>'6. Investissements'!AP182</f>
        <v>390825.24999999994</v>
      </c>
      <c r="AQ177" s="4">
        <f>'6. Investissements'!AQ182</f>
        <v>39386.100000000006</v>
      </c>
      <c r="AR177" s="4">
        <f>'6. Investissements'!AR182</f>
        <v>757217.90000000037</v>
      </c>
      <c r="AS177" s="4">
        <f>'6. Investissements'!AS182</f>
        <v>-81659.450000000012</v>
      </c>
      <c r="AT177" s="4">
        <f>'6. Investissements'!AT182</f>
        <v>183289.8</v>
      </c>
      <c r="AU177" s="4">
        <f>'6. Investissements'!AU182</f>
        <v>191917.3</v>
      </c>
      <c r="AV177" s="4">
        <f>'6. Investissements'!AV182</f>
        <v>606274.71000000008</v>
      </c>
      <c r="AW177" s="4">
        <f>'6. Investissements'!AW182</f>
        <v>53025.600000000006</v>
      </c>
      <c r="AX177" s="4">
        <f>'6. Investissements'!AX182</f>
        <v>49000</v>
      </c>
      <c r="AY177" s="4">
        <f>'6. Investissements'!AY182</f>
        <v>0</v>
      </c>
      <c r="AZ177" s="4">
        <f>'6. Investissements'!AZ182</f>
        <v>281.59999999999854</v>
      </c>
      <c r="BA177" s="4">
        <f>'6. Investissements'!BA182</f>
        <v>478773.55000000005</v>
      </c>
      <c r="BB177" s="4">
        <f>'6. Investissements'!BB182</f>
        <v>349925.75000000006</v>
      </c>
      <c r="BC177" s="4">
        <f>'6. Investissements'!BC182</f>
        <v>0</v>
      </c>
      <c r="BD177" s="4">
        <f>'6. Investissements'!BD182</f>
        <v>562904.31999999983</v>
      </c>
      <c r="BE177" s="4">
        <f>'6. Investissements'!BE182</f>
        <v>6219.65</v>
      </c>
      <c r="BF177" s="4">
        <f>'6. Investissements'!BF182</f>
        <v>36028775.899999999</v>
      </c>
      <c r="BG177" s="4">
        <f>'6. Investissements'!BG182</f>
        <v>26605792.979999997</v>
      </c>
      <c r="BH177" s="4">
        <f>'6. Investissements'!BH182</f>
        <v>1202041.6600000011</v>
      </c>
      <c r="BI177" s="4">
        <f>'6. Investissements'!BI182</f>
        <v>8220941.2600000035</v>
      </c>
    </row>
    <row r="178" spans="1:61" x14ac:dyDescent="0.25">
      <c r="M178" s="4"/>
    </row>
    <row r="179" spans="1:61" x14ac:dyDescent="0.25">
      <c r="D179" s="60" t="s">
        <v>243</v>
      </c>
      <c r="E179" s="61">
        <f>E64-E140</f>
        <v>0</v>
      </c>
      <c r="F179" s="61">
        <f t="shared" ref="F179:BI179" si="111">F64-F140</f>
        <v>0</v>
      </c>
      <c r="G179" s="61">
        <f t="shared" si="111"/>
        <v>0</v>
      </c>
      <c r="H179" s="61">
        <f t="shared" si="111"/>
        <v>-17089.849999999999</v>
      </c>
      <c r="I179" s="199">
        <f t="shared" si="111"/>
        <v>5400</v>
      </c>
      <c r="J179" s="61">
        <f t="shared" si="111"/>
        <v>0</v>
      </c>
      <c r="K179" s="199">
        <f t="shared" si="111"/>
        <v>16855.350000000006</v>
      </c>
      <c r="L179" s="61">
        <f t="shared" si="111"/>
        <v>-15853.609999999404</v>
      </c>
      <c r="M179" s="61">
        <f t="shared" si="111"/>
        <v>0</v>
      </c>
      <c r="N179" s="61">
        <f t="shared" si="111"/>
        <v>0</v>
      </c>
      <c r="O179" s="61">
        <f t="shared" si="111"/>
        <v>0</v>
      </c>
      <c r="P179" s="199">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25">
      <c r="D181" t="s">
        <v>607</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25">
      <c r="D182" t="s">
        <v>608</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25">
      <c r="L184" s="4"/>
    </row>
    <row r="185" spans="1:61" x14ac:dyDescent="0.25">
      <c r="A185">
        <v>4</v>
      </c>
      <c r="B185">
        <v>40</v>
      </c>
      <c r="C185">
        <v>40330</v>
      </c>
      <c r="D185" t="s">
        <v>767</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778</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780</v>
      </c>
    </row>
    <row r="5" spans="1:3" ht="15.75" thickBot="1" x14ac:dyDescent="0.3">
      <c r="B5" s="175"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779</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780</v>
      </c>
    </row>
    <row r="5" spans="1:3" ht="15.75" thickBot="1" x14ac:dyDescent="0.3">
      <c r="B5" s="175"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779</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780</v>
      </c>
    </row>
    <row r="5" spans="1:5" ht="15.75" thickBot="1" x14ac:dyDescent="0.3">
      <c r="B5" s="214" t="s">
        <v>28</v>
      </c>
      <c r="C5" s="215"/>
      <c r="D5" s="216"/>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2" t="s">
        <v>768</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772</v>
      </c>
      <c r="J3" s="43" t="s">
        <v>33</v>
      </c>
      <c r="K3" s="43" t="s">
        <v>28</v>
      </c>
      <c r="L3" s="43" t="s">
        <v>773</v>
      </c>
      <c r="M3" s="43" t="s">
        <v>16</v>
      </c>
      <c r="N3" s="43" t="s">
        <v>774</v>
      </c>
      <c r="O3" s="43" t="s">
        <v>775</v>
      </c>
      <c r="P3" s="43" t="s">
        <v>59</v>
      </c>
      <c r="Q3" s="43" t="s">
        <v>776</v>
      </c>
      <c r="R3" s="43" t="s">
        <v>777</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593</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7">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595</v>
      </c>
      <c r="F217" s="4">
        <v>7061523.4400000004</v>
      </c>
      <c r="G217" s="4"/>
      <c r="H217" s="4">
        <v>711299.76</v>
      </c>
      <c r="I217" s="4">
        <v>816121.79</v>
      </c>
      <c r="J217" s="4">
        <v>1823324.54</v>
      </c>
      <c r="K217" s="4">
        <v>3427699.37</v>
      </c>
      <c r="L217" s="4"/>
      <c r="M217" s="4"/>
      <c r="N217" s="4"/>
      <c r="O217" s="4"/>
      <c r="P217" s="209">
        <v>1975551.27</v>
      </c>
      <c r="Q217" s="4"/>
      <c r="R217" s="4"/>
      <c r="S217" s="80">
        <f>SUM(F217:R217)</f>
        <v>15815520.170000002</v>
      </c>
      <c r="T217">
        <v>215</v>
      </c>
    </row>
    <row r="218" spans="3:20" x14ac:dyDescent="0.25">
      <c r="F218" s="4"/>
      <c r="G218" s="4"/>
      <c r="H218" s="4"/>
      <c r="I218" s="200"/>
      <c r="J218" s="4"/>
      <c r="K218" s="4"/>
      <c r="L218" s="4"/>
      <c r="M218" s="4"/>
      <c r="N218" s="4"/>
      <c r="O218" s="4"/>
      <c r="P218" s="154"/>
      <c r="Q218" s="4"/>
      <c r="R218" s="4"/>
      <c r="S218" s="80"/>
      <c r="T218">
        <v>216</v>
      </c>
    </row>
    <row r="219" spans="3:20" x14ac:dyDescent="0.25">
      <c r="C219" s="161"/>
      <c r="D219" s="161"/>
      <c r="E219" s="161" t="s">
        <v>602</v>
      </c>
      <c r="T219">
        <v>217</v>
      </c>
    </row>
    <row r="220" spans="3:20"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605</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604</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603</v>
      </c>
      <c r="F225" s="154">
        <f>F4-F120</f>
        <v>0</v>
      </c>
      <c r="G225" s="154">
        <f t="shared" ref="G225:S225" si="55">G4-G120</f>
        <v>0</v>
      </c>
      <c r="H225" s="154">
        <f t="shared" si="55"/>
        <v>0</v>
      </c>
      <c r="I225" s="154">
        <f t="shared" si="55"/>
        <v>0</v>
      </c>
      <c r="J225" s="154">
        <f t="shared" si="55"/>
        <v>0</v>
      </c>
      <c r="K225" s="154">
        <f t="shared" si="55"/>
        <v>0</v>
      </c>
      <c r="L225" s="154">
        <f t="shared" si="55"/>
        <v>0</v>
      </c>
      <c r="M225" s="154">
        <f t="shared" si="55"/>
        <v>0</v>
      </c>
      <c r="N225" s="154">
        <f t="shared" si="55"/>
        <v>0</v>
      </c>
      <c r="O225" s="154">
        <f t="shared" si="55"/>
        <v>0</v>
      </c>
      <c r="P225" s="154">
        <f t="shared" si="55"/>
        <v>0</v>
      </c>
      <c r="Q225" s="154">
        <f t="shared" si="55"/>
        <v>0</v>
      </c>
      <c r="R225" s="154">
        <f t="shared" si="55"/>
        <v>0</v>
      </c>
      <c r="S225" s="154">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771</v>
      </c>
      <c r="E4" s="175" t="s">
        <v>56</v>
      </c>
    </row>
    <row r="7" spans="1:6" ht="21" x14ac:dyDescent="0.35">
      <c r="A7" s="73">
        <v>1</v>
      </c>
      <c r="B7" s="73"/>
      <c r="C7" s="73"/>
      <c r="D7" s="73"/>
      <c r="E7" s="73" t="s">
        <v>246</v>
      </c>
      <c r="F7" s="176">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594</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593</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8">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595</v>
      </c>
      <c r="F220" s="4">
        <f>HLOOKUP($E$4,'Bourgeoisie bilan'!$F$3:$S$228,215,0)</f>
        <v>7061523.4400000004</v>
      </c>
    </row>
    <row r="221" spans="3:6" x14ac:dyDescent="0.25">
      <c r="F221" s="4"/>
    </row>
    <row r="222" spans="3:6" x14ac:dyDescent="0.25">
      <c r="C222" s="161"/>
      <c r="D222" s="161"/>
      <c r="E222" s="161" t="s">
        <v>602</v>
      </c>
      <c r="F222" s="4">
        <f>HLOOKUP($E$4,'Bourgeoisie bilan'!$F$3:$S$228,217,0)</f>
        <v>0</v>
      </c>
    </row>
    <row r="223" spans="3:6" x14ac:dyDescent="0.25">
      <c r="D223">
        <v>290</v>
      </c>
      <c r="E223" t="s">
        <v>601</v>
      </c>
      <c r="F223" s="4">
        <f>HLOOKUP($E$4,'Bourgeoisie bilan'!$F$3:$S$228,218,0)</f>
        <v>0</v>
      </c>
    </row>
    <row r="224" spans="3:6" x14ac:dyDescent="0.25">
      <c r="D224">
        <v>2990</v>
      </c>
      <c r="E224" t="s">
        <v>605</v>
      </c>
      <c r="F224" s="4">
        <f>HLOOKUP($E$4,'Bourgeoisie bilan'!$F$3:$S$228,219,0)</f>
        <v>29125.87</v>
      </c>
    </row>
    <row r="225" spans="5:6" x14ac:dyDescent="0.25">
      <c r="F225" s="4"/>
    </row>
    <row r="226" spans="5:6" x14ac:dyDescent="0.25">
      <c r="E226" s="7" t="s">
        <v>604</v>
      </c>
      <c r="F226" s="4">
        <f>HLOOKUP($E$4,'Bourgeoisie bilan'!$F$3:$S$228,221,0)</f>
        <v>29125.87</v>
      </c>
    </row>
    <row r="227" spans="5:6" x14ac:dyDescent="0.25">
      <c r="F227" s="4">
        <f>HLOOKUP($E$4,'Bourgeoisie bilan'!$F$3:$S$228,222,0)</f>
        <v>0</v>
      </c>
    </row>
    <row r="228" spans="5:6" x14ac:dyDescent="0.25">
      <c r="E228" s="60" t="s">
        <v>603</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4" t="s">
        <v>778</v>
      </c>
      <c r="B2" s="7"/>
    </row>
    <row r="3" spans="1:16" ht="15" customHeight="1" x14ac:dyDescent="0.25">
      <c r="A3" s="7"/>
      <c r="B3" s="7"/>
    </row>
    <row r="4" spans="1:16" ht="15" customHeight="1" x14ac:dyDescent="0.4">
      <c r="A4" s="42"/>
      <c r="B4" s="7"/>
    </row>
    <row r="5" spans="1:16" x14ac:dyDescent="0.25">
      <c r="A5" s="185"/>
      <c r="C5" s="57"/>
      <c r="D5" s="57"/>
      <c r="E5" s="57"/>
      <c r="F5" s="57"/>
      <c r="G5" s="57"/>
      <c r="H5" s="57"/>
      <c r="I5" s="57"/>
      <c r="J5" s="57"/>
      <c r="K5" s="57"/>
      <c r="L5" s="57"/>
      <c r="M5" s="57"/>
      <c r="N5" s="57"/>
      <c r="O5" s="57"/>
      <c r="P5" s="57"/>
    </row>
    <row r="6" spans="1:16" x14ac:dyDescent="0.25">
      <c r="C6" s="43" t="s">
        <v>56</v>
      </c>
      <c r="D6" s="43" t="s">
        <v>18</v>
      </c>
      <c r="E6" s="43" t="s">
        <v>57</v>
      </c>
      <c r="F6" s="43" t="s">
        <v>772</v>
      </c>
      <c r="G6" s="43" t="s">
        <v>33</v>
      </c>
      <c r="H6" s="43" t="s">
        <v>28</v>
      </c>
      <c r="I6" s="43" t="s">
        <v>773</v>
      </c>
      <c r="J6" s="43" t="s">
        <v>16</v>
      </c>
      <c r="K6" s="43" t="s">
        <v>774</v>
      </c>
      <c r="L6" s="43" t="s">
        <v>775</v>
      </c>
      <c r="M6" s="43" t="s">
        <v>59</v>
      </c>
      <c r="N6" s="43" t="s">
        <v>776</v>
      </c>
      <c r="O6" s="43" t="s">
        <v>777</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578</v>
      </c>
      <c r="C20" s="181">
        <f>C11+C13+C15-C17</f>
        <v>3081680.2</v>
      </c>
      <c r="D20" s="181">
        <f t="shared" ref="D20:O20" si="0">D11+D13+D15-D17</f>
        <v>0</v>
      </c>
      <c r="E20" s="181">
        <f t="shared" si="0"/>
        <v>291425.59999999998</v>
      </c>
      <c r="F20" s="181">
        <f t="shared" si="0"/>
        <v>0</v>
      </c>
      <c r="G20" s="181">
        <f t="shared" si="0"/>
        <v>410794.05</v>
      </c>
      <c r="H20" s="181">
        <f t="shared" si="0"/>
        <v>3427101.65</v>
      </c>
      <c r="I20" s="181">
        <f t="shared" si="0"/>
        <v>0</v>
      </c>
      <c r="J20" s="181">
        <f t="shared" si="0"/>
        <v>0</v>
      </c>
      <c r="K20" s="181">
        <f t="shared" si="0"/>
        <v>0</v>
      </c>
      <c r="L20" s="181">
        <f t="shared" si="0"/>
        <v>0</v>
      </c>
      <c r="M20" s="181">
        <f t="shared" si="0"/>
        <v>0</v>
      </c>
      <c r="N20" s="181">
        <f t="shared" si="0"/>
        <v>0</v>
      </c>
      <c r="O20" s="181">
        <f t="shared" si="0"/>
        <v>0</v>
      </c>
      <c r="P20" s="181">
        <f>SUM(C20:O20)</f>
        <v>7211001.5</v>
      </c>
    </row>
    <row r="21" spans="1:16" x14ac:dyDescent="0.25">
      <c r="A21" s="67"/>
      <c r="B21" s="7"/>
      <c r="C21" s="182"/>
      <c r="D21" s="182"/>
      <c r="E21" s="182"/>
      <c r="F21" s="182"/>
      <c r="G21" s="182"/>
      <c r="H21" s="182"/>
      <c r="I21" s="182"/>
      <c r="J21" s="182"/>
      <c r="K21" s="182"/>
      <c r="L21" s="182"/>
      <c r="M21" s="182"/>
      <c r="N21" s="182"/>
      <c r="O21" s="182"/>
      <c r="P21" s="182"/>
    </row>
    <row r="22" spans="1:16" x14ac:dyDescent="0.25">
      <c r="A22" s="67"/>
      <c r="B22" s="99" t="s">
        <v>509</v>
      </c>
      <c r="C22" s="181">
        <f t="shared" ref="C22:O22" si="1">C9-C7</f>
        <v>-5153658.6999999993</v>
      </c>
      <c r="D22" s="181">
        <f t="shared" si="1"/>
        <v>0</v>
      </c>
      <c r="E22" s="181">
        <f t="shared" si="1"/>
        <v>-100196.82</v>
      </c>
      <c r="F22" s="181">
        <f t="shared" si="1"/>
        <v>-274399.86000000004</v>
      </c>
      <c r="G22" s="181">
        <f t="shared" si="1"/>
        <v>-696064.59</v>
      </c>
      <c r="H22" s="181">
        <f t="shared" si="1"/>
        <v>-27565738.919999998</v>
      </c>
      <c r="I22" s="181">
        <f t="shared" si="1"/>
        <v>0</v>
      </c>
      <c r="J22" s="181">
        <f t="shared" si="1"/>
        <v>0</v>
      </c>
      <c r="K22" s="181">
        <f t="shared" si="1"/>
        <v>0</v>
      </c>
      <c r="L22" s="181">
        <f t="shared" si="1"/>
        <v>0</v>
      </c>
      <c r="M22" s="181">
        <f t="shared" si="1"/>
        <v>-1273171</v>
      </c>
      <c r="N22" s="181">
        <f t="shared" si="1"/>
        <v>0</v>
      </c>
      <c r="O22" s="181">
        <f t="shared" si="1"/>
        <v>0</v>
      </c>
      <c r="P22" s="181">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782</v>
      </c>
      <c r="B1" s="7"/>
    </row>
    <row r="2" spans="1:3" ht="15" customHeight="1" x14ac:dyDescent="0.4">
      <c r="A2" s="42"/>
      <c r="B2" s="7"/>
    </row>
    <row r="3" spans="1:3" ht="15" customHeight="1" thickBot="1" x14ac:dyDescent="0.3">
      <c r="A3" s="7"/>
      <c r="B3" s="157" t="s">
        <v>780</v>
      </c>
    </row>
    <row r="4" spans="1:3" ht="15" customHeight="1" thickBot="1" x14ac:dyDescent="0.45">
      <c r="A4" s="42"/>
      <c r="B4" s="180" t="s">
        <v>28</v>
      </c>
    </row>
    <row r="5" spans="1:3" ht="15" customHeight="1" x14ac:dyDescent="0.25">
      <c r="C5" s="65"/>
    </row>
    <row r="6" spans="1:3" ht="15" customHeight="1" x14ac:dyDescent="0.25">
      <c r="C6" s="183"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578</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topLeftCell="A4" workbookViewId="0">
      <selection activeCell="O27" sqref="O27"/>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10" t="s">
        <v>60</v>
      </c>
      <c r="B4" s="4"/>
    </row>
    <row r="5" spans="1:2" x14ac:dyDescent="0.25">
      <c r="A5" s="78" t="s">
        <v>787</v>
      </c>
      <c r="B5" s="4">
        <f>'4.1 Comptes 2020 natures'!BF5</f>
        <v>68720627.850000009</v>
      </c>
    </row>
    <row r="6" spans="1:2" x14ac:dyDescent="0.25">
      <c r="A6" s="78" t="s">
        <v>788</v>
      </c>
      <c r="B6" s="4">
        <f>'4.1 Comptes 2020 natures'!BF15</f>
        <v>71449713.730000019</v>
      </c>
    </row>
    <row r="7" spans="1:2" x14ac:dyDescent="0.25">
      <c r="A7" s="78" t="s">
        <v>789</v>
      </c>
      <c r="B7" s="4">
        <f>'4.1 Comptes 2020 natures'!BF27</f>
        <v>22755841.089999996</v>
      </c>
    </row>
    <row r="8" spans="1:2" x14ac:dyDescent="0.25">
      <c r="A8" s="78" t="s">
        <v>790</v>
      </c>
      <c r="B8" s="4">
        <f>'4.1 Comptes 2020 natures'!BF31</f>
        <v>9277984.3499999978</v>
      </c>
    </row>
    <row r="9" spans="1:2" x14ac:dyDescent="0.25">
      <c r="A9" s="78" t="s">
        <v>791</v>
      </c>
      <c r="B9" s="4">
        <f>'4.1 Comptes 2020 natures'!BF39</f>
        <v>2143078.8400000003</v>
      </c>
    </row>
    <row r="10" spans="1:2" x14ac:dyDescent="0.25">
      <c r="A10" s="78" t="s">
        <v>792</v>
      </c>
      <c r="B10" s="4">
        <f>'4.1 Comptes 2020 natures'!BF43</f>
        <v>188221332.50000003</v>
      </c>
    </row>
    <row r="11" spans="1:2" x14ac:dyDescent="0.25">
      <c r="A11" s="78" t="s">
        <v>793</v>
      </c>
      <c r="B11" s="4">
        <f>'4.1 Comptes 2020 natures'!BF53</f>
        <v>2475574.8499999996</v>
      </c>
    </row>
    <row r="12" spans="1:2" x14ac:dyDescent="0.25">
      <c r="A12" s="78" t="s">
        <v>794</v>
      </c>
      <c r="B12" s="4">
        <f>'4.1 Comptes 2020 natures'!BF56</f>
        <v>5292667.4400000004</v>
      </c>
    </row>
    <row r="13" spans="1:2" x14ac:dyDescent="0.25">
      <c r="A13" s="78" t="s">
        <v>795</v>
      </c>
      <c r="B13" s="4">
        <f>'4.1 Comptes 2020 natures'!BF64</f>
        <v>8645338.1600000001</v>
      </c>
    </row>
    <row r="14" spans="1:2" x14ac:dyDescent="0.25">
      <c r="A14" s="79"/>
      <c r="B14" s="4"/>
    </row>
    <row r="15" spans="1:2" ht="21" x14ac:dyDescent="0.35">
      <c r="A15" s="210" t="s">
        <v>137</v>
      </c>
      <c r="B15" s="4"/>
    </row>
    <row r="16" spans="1:2" x14ac:dyDescent="0.25">
      <c r="A16" s="78" t="s">
        <v>796</v>
      </c>
      <c r="B16" s="4">
        <f>'4.1 Comptes 2020 natures'!BF76</f>
        <v>219315688.26000002</v>
      </c>
    </row>
    <row r="17" spans="1:2" x14ac:dyDescent="0.25">
      <c r="A17" s="78" t="s">
        <v>797</v>
      </c>
      <c r="B17" s="4">
        <f>'4.1 Comptes 2020 natures'!BF82</f>
        <v>1014852.6699999999</v>
      </c>
    </row>
    <row r="18" spans="1:2" x14ac:dyDescent="0.25">
      <c r="A18" s="78" t="s">
        <v>798</v>
      </c>
      <c r="B18" s="4">
        <f>'4.1 Comptes 2020 natures'!BF88</f>
        <v>74575696.230000019</v>
      </c>
    </row>
    <row r="19" spans="1:2" x14ac:dyDescent="0.25">
      <c r="A19" s="78" t="s">
        <v>799</v>
      </c>
      <c r="B19" s="4">
        <f>'4.1 Comptes 2020 natures'!BF99</f>
        <v>1741348.8899999997</v>
      </c>
    </row>
    <row r="20" spans="1:2" x14ac:dyDescent="0.25">
      <c r="A20" s="78" t="s">
        <v>800</v>
      </c>
      <c r="B20" s="4">
        <f>'4.1 Comptes 2020 natures'!BF105</f>
        <v>13891621.57</v>
      </c>
    </row>
    <row r="21" spans="1:2" x14ac:dyDescent="0.25">
      <c r="A21" s="78" t="s">
        <v>801</v>
      </c>
      <c r="B21" s="4">
        <f>'4.1 Comptes 2020 natures'!BF117</f>
        <v>1308254.75</v>
      </c>
    </row>
    <row r="22" spans="1:2" x14ac:dyDescent="0.25">
      <c r="A22" s="78" t="s">
        <v>802</v>
      </c>
      <c r="B22" s="4">
        <f>'4.1 Comptes 2020 natures'!BF121</f>
        <v>64732664.279999994</v>
      </c>
    </row>
    <row r="23" spans="1:2" x14ac:dyDescent="0.25">
      <c r="A23" s="78" t="s">
        <v>803</v>
      </c>
      <c r="B23" s="4">
        <f>'4.1 Comptes 2020 natures'!BF128</f>
        <v>2079314.8499999999</v>
      </c>
    </row>
    <row r="24" spans="1:2" x14ac:dyDescent="0.25">
      <c r="A24" s="78" t="s">
        <v>804</v>
      </c>
      <c r="B24" s="4">
        <f>'4.1 Comptes 2020 natures'!BF131</f>
        <v>2567175.7000000002</v>
      </c>
    </row>
    <row r="25" spans="1:2" x14ac:dyDescent="0.25">
      <c r="A25" s="78" t="s">
        <v>805</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2" t="s">
        <v>768</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765</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781</v>
      </c>
      <c r="B1" s="7"/>
      <c r="C1" s="7"/>
      <c r="D1" s="7"/>
    </row>
    <row r="3" spans="1:5" ht="15.75" thickBot="1" x14ac:dyDescent="0.3"/>
    <row r="4" spans="1:5" ht="15.75" thickBot="1" x14ac:dyDescent="0.3">
      <c r="A4" t="s">
        <v>771</v>
      </c>
      <c r="D4" s="175" t="s">
        <v>28</v>
      </c>
    </row>
    <row r="7" spans="1:5" ht="21" x14ac:dyDescent="0.35">
      <c r="A7" s="102">
        <v>5</v>
      </c>
      <c r="B7" s="102"/>
      <c r="C7" s="102"/>
      <c r="D7" s="102" t="s">
        <v>193</v>
      </c>
      <c r="E7" s="186">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7">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9" t="s">
        <v>225</v>
      </c>
      <c r="E185" s="190">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3" t="s">
        <v>769</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596</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4"/>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4">
        <f t="shared" ref="E162:N162" si="111">E157-E161</f>
        <v>0</v>
      </c>
      <c r="F162" s="154">
        <f t="shared" si="111"/>
        <v>0</v>
      </c>
      <c r="G162" s="154">
        <f t="shared" si="111"/>
        <v>0</v>
      </c>
      <c r="H162" s="154">
        <f t="shared" si="111"/>
        <v>0</v>
      </c>
      <c r="I162" s="154">
        <f t="shared" si="111"/>
        <v>0</v>
      </c>
      <c r="J162" s="154">
        <f t="shared" si="111"/>
        <v>0</v>
      </c>
      <c r="K162" s="154">
        <f t="shared" si="111"/>
        <v>0</v>
      </c>
      <c r="L162" s="154">
        <f t="shared" si="111"/>
        <v>0</v>
      </c>
      <c r="M162" s="154">
        <f t="shared" si="111"/>
        <v>0</v>
      </c>
      <c r="N162" s="154">
        <f t="shared" si="111"/>
        <v>0</v>
      </c>
      <c r="O162" s="154">
        <f>O157-O161</f>
        <v>0</v>
      </c>
      <c r="P162" s="154">
        <f t="shared" ref="P162:BI162" si="112">P157-P161</f>
        <v>0</v>
      </c>
      <c r="Q162" s="154">
        <f t="shared" si="112"/>
        <v>0</v>
      </c>
      <c r="R162" s="154">
        <f t="shared" si="112"/>
        <v>0</v>
      </c>
      <c r="S162" s="154">
        <f t="shared" si="112"/>
        <v>0</v>
      </c>
      <c r="T162" s="154">
        <f t="shared" si="112"/>
        <v>0</v>
      </c>
      <c r="U162" s="154">
        <f t="shared" si="112"/>
        <v>0</v>
      </c>
      <c r="V162" s="154">
        <f t="shared" si="112"/>
        <v>0</v>
      </c>
      <c r="W162" s="154">
        <f t="shared" si="112"/>
        <v>0</v>
      </c>
      <c r="X162" s="154">
        <f t="shared" si="112"/>
        <v>0</v>
      </c>
      <c r="Y162" s="154">
        <f t="shared" si="112"/>
        <v>0</v>
      </c>
      <c r="Z162" s="154">
        <f t="shared" si="112"/>
        <v>0</v>
      </c>
      <c r="AA162" s="154">
        <f t="shared" si="112"/>
        <v>0</v>
      </c>
      <c r="AB162" s="154">
        <f t="shared" si="112"/>
        <v>0</v>
      </c>
      <c r="AC162" s="154">
        <f t="shared" si="112"/>
        <v>0</v>
      </c>
      <c r="AD162" s="154">
        <f t="shared" si="112"/>
        <v>0</v>
      </c>
      <c r="AE162" s="154">
        <f t="shared" si="112"/>
        <v>0</v>
      </c>
      <c r="AF162" s="154">
        <f t="shared" si="112"/>
        <v>0</v>
      </c>
      <c r="AG162" s="154">
        <f t="shared" si="112"/>
        <v>0</v>
      </c>
      <c r="AH162" s="154">
        <f t="shared" si="112"/>
        <v>0</v>
      </c>
      <c r="AI162" s="154">
        <f t="shared" si="112"/>
        <v>0</v>
      </c>
      <c r="AJ162" s="154">
        <f t="shared" si="112"/>
        <v>0</v>
      </c>
      <c r="AK162" s="154">
        <f t="shared" si="112"/>
        <v>0</v>
      </c>
      <c r="AL162" s="154">
        <f t="shared" si="112"/>
        <v>0</v>
      </c>
      <c r="AM162" s="154">
        <f t="shared" si="112"/>
        <v>0</v>
      </c>
      <c r="AN162" s="154">
        <f t="shared" si="112"/>
        <v>0</v>
      </c>
      <c r="AO162" s="154">
        <f t="shared" si="112"/>
        <v>0</v>
      </c>
      <c r="AP162" s="154">
        <f t="shared" si="112"/>
        <v>0</v>
      </c>
      <c r="AQ162" s="154">
        <f t="shared" si="112"/>
        <v>0</v>
      </c>
      <c r="AR162" s="154">
        <f t="shared" si="112"/>
        <v>0</v>
      </c>
      <c r="AS162" s="154">
        <f t="shared" si="112"/>
        <v>0</v>
      </c>
      <c r="AT162" s="154">
        <f t="shared" si="112"/>
        <v>0</v>
      </c>
      <c r="AU162" s="154">
        <f t="shared" si="112"/>
        <v>0</v>
      </c>
      <c r="AV162" s="154">
        <f t="shared" si="112"/>
        <v>0</v>
      </c>
      <c r="AW162" s="154">
        <f t="shared" si="112"/>
        <v>0</v>
      </c>
      <c r="AX162" s="154">
        <f t="shared" si="112"/>
        <v>0</v>
      </c>
      <c r="AY162" s="154">
        <f t="shared" si="112"/>
        <v>0</v>
      </c>
      <c r="AZ162" s="154">
        <f t="shared" si="112"/>
        <v>0</v>
      </c>
      <c r="BA162" s="154">
        <f t="shared" si="112"/>
        <v>0</v>
      </c>
      <c r="BB162" s="154">
        <f t="shared" si="112"/>
        <v>0</v>
      </c>
      <c r="BC162" s="154">
        <f t="shared" si="112"/>
        <v>0</v>
      </c>
      <c r="BD162" s="154">
        <f t="shared" si="112"/>
        <v>0</v>
      </c>
      <c r="BE162" s="154">
        <f t="shared" si="112"/>
        <v>0</v>
      </c>
      <c r="BF162" s="154">
        <f t="shared" si="112"/>
        <v>0</v>
      </c>
      <c r="BG162" s="154">
        <f t="shared" si="112"/>
        <v>0</v>
      </c>
      <c r="BH162" s="154">
        <f t="shared" si="112"/>
        <v>0</v>
      </c>
      <c r="BI162" s="154">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9">
        <f t="shared" si="113"/>
        <v>0</v>
      </c>
      <c r="J164" s="61">
        <f t="shared" si="113"/>
        <v>0</v>
      </c>
      <c r="K164" s="199">
        <f t="shared" si="113"/>
        <v>0</v>
      </c>
      <c r="L164" s="61">
        <f t="shared" si="113"/>
        <v>0</v>
      </c>
      <c r="M164" s="61">
        <f t="shared" si="113"/>
        <v>0</v>
      </c>
      <c r="N164" s="61">
        <f t="shared" si="113"/>
        <v>0</v>
      </c>
      <c r="O164" s="61">
        <f t="shared" si="113"/>
        <v>0</v>
      </c>
      <c r="P164" s="199">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607</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608</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5" t="s">
        <v>27</v>
      </c>
    </row>
    <row r="7" spans="1:5" x14ac:dyDescent="0.25">
      <c r="E7" s="65" t="s">
        <v>205</v>
      </c>
    </row>
    <row r="8" spans="1:5" ht="21" x14ac:dyDescent="0.35">
      <c r="A8" s="92">
        <v>3</v>
      </c>
      <c r="B8" s="92"/>
      <c r="C8" s="92"/>
      <c r="D8" s="92" t="s">
        <v>60</v>
      </c>
      <c r="E8" s="172">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3">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2" t="s">
        <v>768</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7"/>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1">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595</v>
      </c>
      <c r="F217" s="4"/>
      <c r="G217" s="4"/>
      <c r="H217" s="4"/>
      <c r="I217" s="4"/>
      <c r="J217" s="4"/>
      <c r="K217" s="4"/>
      <c r="L217" s="4"/>
      <c r="M217" s="4"/>
      <c r="N217" s="4"/>
      <c r="O217" s="4"/>
      <c r="P217" s="15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605</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604</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HLOOKUP($E$4,'5.1 Bilan'!$F$3:$BF$226,2,0)</f>
        <v>6103718.5500000007</v>
      </c>
    </row>
    <row r="8" spans="1:6" x14ac:dyDescent="0.25">
      <c r="A8" s="78"/>
      <c r="B8" s="74">
        <v>10</v>
      </c>
      <c r="C8" s="74"/>
      <c r="D8" s="74"/>
      <c r="E8" s="74" t="s">
        <v>247</v>
      </c>
      <c r="F8" s="75">
        <f>HLOOKUP($E$4,'5.1 Bilan'!$F$3:$BF$226,3,0)</f>
        <v>2569790.9000000004</v>
      </c>
    </row>
    <row r="9" spans="1:6" x14ac:dyDescent="0.25">
      <c r="A9" s="79"/>
      <c r="B9" s="79"/>
      <c r="C9" s="69">
        <v>100</v>
      </c>
      <c r="D9" s="69"/>
      <c r="E9" s="69" t="s">
        <v>248</v>
      </c>
      <c r="F9" s="177">
        <f>SUM(F10:F15)</f>
        <v>1011017.67</v>
      </c>
    </row>
    <row r="10" spans="1:6" x14ac:dyDescent="0.25">
      <c r="D10">
        <v>1000</v>
      </c>
      <c r="E10" t="s">
        <v>322</v>
      </c>
      <c r="F10" s="4">
        <f>HLOOKUP($E$4,'5.1 Bilan'!$F$3:$BF$226,5,0)</f>
        <v>1698.15</v>
      </c>
    </row>
    <row r="11" spans="1:6" x14ac:dyDescent="0.25">
      <c r="D11">
        <v>1001</v>
      </c>
      <c r="E11" t="s">
        <v>323</v>
      </c>
      <c r="F11" s="4">
        <f>HLOOKUP($E$4,'5.1 Bilan'!$F$3:$BF$226,6,0)</f>
        <v>74871.34</v>
      </c>
    </row>
    <row r="12" spans="1:6" x14ac:dyDescent="0.25">
      <c r="D12">
        <v>1002</v>
      </c>
      <c r="E12" t="s">
        <v>331</v>
      </c>
      <c r="F12" s="4">
        <f>HLOOKUP($E$4,'5.1 Bilan'!$F$3:$BF$226,7,0)</f>
        <v>934448.18</v>
      </c>
    </row>
    <row r="13" spans="1:6" x14ac:dyDescent="0.25">
      <c r="D13">
        <v>1003</v>
      </c>
      <c r="E13" t="s">
        <v>324</v>
      </c>
      <c r="F13" s="4">
        <f>HLOOKUP($E$4,'5.1 Bilan'!$F$3:$BF$226,8,0)</f>
        <v>0</v>
      </c>
    </row>
    <row r="14" spans="1:6" x14ac:dyDescent="0.25">
      <c r="D14">
        <v>1004</v>
      </c>
      <c r="E14" t="s">
        <v>325</v>
      </c>
      <c r="F14" s="4">
        <f>HLOOKUP($E$4,'5.1 Bilan'!$F$3:$BF$226,9,0)</f>
        <v>0</v>
      </c>
    </row>
    <row r="15" spans="1:6" x14ac:dyDescent="0.25">
      <c r="D15">
        <v>1009</v>
      </c>
      <c r="E15" t="s">
        <v>326</v>
      </c>
      <c r="F15" s="4">
        <f>HLOOKUP($E$4,'5.1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HLOOKUP($E$4,'5.1 Bilan'!$F$3:$BF$226,13,0)</f>
        <v>62083.64</v>
      </c>
    </row>
    <row r="19" spans="1:6" x14ac:dyDescent="0.25">
      <c r="D19">
        <v>1011</v>
      </c>
      <c r="E19" t="s">
        <v>408</v>
      </c>
      <c r="F19" s="4">
        <f>HLOOKUP($E$4,'5.1 Bilan'!$F$3:$BF$226,14,0)</f>
        <v>0</v>
      </c>
    </row>
    <row r="20" spans="1:6" x14ac:dyDescent="0.25">
      <c r="D20">
        <v>1012</v>
      </c>
      <c r="E20" t="s">
        <v>328</v>
      </c>
      <c r="F20" s="4">
        <f>HLOOKUP($E$4,'5.1 Bilan'!$F$3:$BF$226,15,0)</f>
        <v>408257.56</v>
      </c>
    </row>
    <row r="21" spans="1:6" x14ac:dyDescent="0.25">
      <c r="D21">
        <v>1013</v>
      </c>
      <c r="E21" t="s">
        <v>329</v>
      </c>
      <c r="F21" s="4">
        <f>HLOOKUP($E$4,'5.1 Bilan'!$F$3:$BF$226,16,0)</f>
        <v>0</v>
      </c>
    </row>
    <row r="22" spans="1:6" x14ac:dyDescent="0.25">
      <c r="D22">
        <v>1014</v>
      </c>
      <c r="E22" t="s">
        <v>330</v>
      </c>
      <c r="F22" s="4">
        <f>HLOOKUP($E$4,'5.1 Bilan'!$F$3:$BF$226,17,0)</f>
        <v>0</v>
      </c>
    </row>
    <row r="23" spans="1:6" x14ac:dyDescent="0.25">
      <c r="D23">
        <v>1015</v>
      </c>
      <c r="E23" t="s">
        <v>332</v>
      </c>
      <c r="F23" s="4">
        <f>HLOOKUP($E$4,'5.1 Bilan'!$F$3:$BF$226,18,0)</f>
        <v>0</v>
      </c>
    </row>
    <row r="24" spans="1:6" x14ac:dyDescent="0.25">
      <c r="D24">
        <v>1016</v>
      </c>
      <c r="E24" t="s">
        <v>333</v>
      </c>
      <c r="F24" s="4">
        <f>HLOOKUP($E$4,'5.1 Bilan'!$F$3:$BF$226,19,0)</f>
        <v>0</v>
      </c>
    </row>
    <row r="25" spans="1:6" x14ac:dyDescent="0.25">
      <c r="D25">
        <v>1019</v>
      </c>
      <c r="E25" t="s">
        <v>334</v>
      </c>
      <c r="F25" s="4">
        <f>HLOOKUP($E$4,'5.1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HLOOKUP($E$4,'5.1 Bilan'!$F$3:$BF$226,23,0)</f>
        <v>0</v>
      </c>
    </row>
    <row r="29" spans="1:6" x14ac:dyDescent="0.25">
      <c r="D29">
        <v>1022</v>
      </c>
      <c r="E29" t="s">
        <v>336</v>
      </c>
      <c r="F29" s="4">
        <f>HLOOKUP($E$4,'5.1 Bilan'!$F$3:$BF$226,24,0)</f>
        <v>0</v>
      </c>
    </row>
    <row r="30" spans="1:6" x14ac:dyDescent="0.25">
      <c r="D30">
        <v>1023</v>
      </c>
      <c r="E30" t="s">
        <v>337</v>
      </c>
      <c r="F30" s="4">
        <f>HLOOKUP($E$4,'5.1 Bilan'!$F$3:$BF$226,25,0)</f>
        <v>0</v>
      </c>
    </row>
    <row r="31" spans="1:6" x14ac:dyDescent="0.25">
      <c r="D31">
        <v>1029</v>
      </c>
      <c r="E31" t="s">
        <v>338</v>
      </c>
      <c r="F31" s="4">
        <f>HLOOKUP($E$4,'5.1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HLOOKUP($E$4,'5.1 Bilan'!$F$3:$BF$226,29,0)</f>
        <v>0</v>
      </c>
    </row>
    <row r="35" spans="3:6" x14ac:dyDescent="0.25">
      <c r="D35">
        <v>1041</v>
      </c>
      <c r="E35" t="s">
        <v>339</v>
      </c>
      <c r="F35" s="4">
        <f>HLOOKUP($E$4,'5.1 Bilan'!$F$3:$BF$226,30,0)</f>
        <v>123455.05</v>
      </c>
    </row>
    <row r="36" spans="3:6" x14ac:dyDescent="0.25">
      <c r="D36">
        <v>1042</v>
      </c>
      <c r="E36" t="s">
        <v>340</v>
      </c>
      <c r="F36" s="4">
        <f>HLOOKUP($E$4,'5.1 Bilan'!$F$3:$BF$226,31,0)</f>
        <v>0</v>
      </c>
    </row>
    <row r="37" spans="3:6" x14ac:dyDescent="0.25">
      <c r="D37">
        <v>1043</v>
      </c>
      <c r="E37" t="s">
        <v>341</v>
      </c>
      <c r="F37" s="4">
        <f>HLOOKUP($E$4,'5.1 Bilan'!$F$3:$BF$226,32,0)</f>
        <v>69637.98</v>
      </c>
    </row>
    <row r="38" spans="3:6" x14ac:dyDescent="0.25">
      <c r="D38">
        <v>1044</v>
      </c>
      <c r="E38" t="s">
        <v>342</v>
      </c>
      <c r="F38" s="4">
        <f>HLOOKUP($E$4,'5.1 Bilan'!$F$3:$BF$226,33,0)</f>
        <v>0</v>
      </c>
    </row>
    <row r="39" spans="3:6" x14ac:dyDescent="0.25">
      <c r="D39">
        <v>1045</v>
      </c>
      <c r="E39" t="s">
        <v>343</v>
      </c>
      <c r="F39" s="4">
        <f>HLOOKUP($E$4,'5.1 Bilan'!$F$3:$BF$226,34,0)</f>
        <v>0</v>
      </c>
    </row>
    <row r="40" spans="3:6" x14ac:dyDescent="0.25">
      <c r="D40">
        <v>1046</v>
      </c>
      <c r="E40" t="s">
        <v>344</v>
      </c>
      <c r="F40" s="4">
        <f>HLOOKUP($E$4,'5.1 Bilan'!$F$3:$BF$226,35,0)</f>
        <v>0</v>
      </c>
    </row>
    <row r="41" spans="3:6" x14ac:dyDescent="0.25">
      <c r="D41">
        <v>1049</v>
      </c>
      <c r="E41" t="s">
        <v>345</v>
      </c>
      <c r="F41" s="4">
        <f>HLOOKUP($E$4,'5.1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HLOOKUP($E$4,'5.1 Bilan'!$F$3:$BF$226,39,0)</f>
        <v>0</v>
      </c>
    </row>
    <row r="45" spans="3:6" x14ac:dyDescent="0.25">
      <c r="D45">
        <v>1061</v>
      </c>
      <c r="E45" t="s">
        <v>347</v>
      </c>
      <c r="F45" s="4">
        <f>HLOOKUP($E$4,'5.1 Bilan'!$F$3:$BF$226,40,0)</f>
        <v>0</v>
      </c>
    </row>
    <row r="46" spans="3:6" x14ac:dyDescent="0.25">
      <c r="D46">
        <v>1062</v>
      </c>
      <c r="E46" t="s">
        <v>348</v>
      </c>
      <c r="F46" s="4">
        <f>HLOOKUP($E$4,'5.1 Bilan'!$F$3:$BF$226,41,0)</f>
        <v>0</v>
      </c>
    </row>
    <row r="47" spans="3:6" x14ac:dyDescent="0.25">
      <c r="D47">
        <v>1063</v>
      </c>
      <c r="E47" t="s">
        <v>349</v>
      </c>
      <c r="F47" s="4">
        <f>HLOOKUP($E$4,'5.1 Bilan'!$F$3:$BF$226,42,0)</f>
        <v>0</v>
      </c>
    </row>
    <row r="48" spans="3:6" x14ac:dyDescent="0.25">
      <c r="D48">
        <v>1068</v>
      </c>
      <c r="E48" t="s">
        <v>350</v>
      </c>
      <c r="F48" s="4">
        <f>HLOOKUP($E$4,'5.1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HLOOKUP($E$4,'5.1 Bilan'!$F$3:$BF$226,46,0)</f>
        <v>4</v>
      </c>
    </row>
    <row r="52" spans="3:6" x14ac:dyDescent="0.25">
      <c r="D52">
        <v>1071</v>
      </c>
      <c r="E52" t="s">
        <v>352</v>
      </c>
      <c r="F52" s="4">
        <f>HLOOKUP($E$4,'5.1 Bilan'!$F$3:$BF$226,47,0)</f>
        <v>0</v>
      </c>
    </row>
    <row r="53" spans="3:6" x14ac:dyDescent="0.25">
      <c r="D53">
        <v>1072</v>
      </c>
      <c r="E53" t="s">
        <v>353</v>
      </c>
      <c r="F53" s="4">
        <f>HLOOKUP($E$4,'5.1 Bilan'!$F$3:$BF$226,48,0)</f>
        <v>0</v>
      </c>
    </row>
    <row r="54" spans="3:6" x14ac:dyDescent="0.25">
      <c r="D54">
        <v>1079</v>
      </c>
      <c r="E54" t="s">
        <v>354</v>
      </c>
      <c r="F54" s="4">
        <f>HLOOKUP($E$4,'5.1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HLOOKUP($E$4,'5.1 Bilan'!$F$3:$BF$226,52,0)</f>
        <v>185335</v>
      </c>
    </row>
    <row r="58" spans="3:6" x14ac:dyDescent="0.25">
      <c r="D58">
        <v>1084</v>
      </c>
      <c r="E58" t="s">
        <v>357</v>
      </c>
      <c r="F58" s="4">
        <f>HLOOKUP($E$4,'5.1 Bilan'!$F$3:$BF$226,53,0)</f>
        <v>710000</v>
      </c>
    </row>
    <row r="59" spans="3:6" x14ac:dyDescent="0.25">
      <c r="D59">
        <v>1086</v>
      </c>
      <c r="E59" t="s">
        <v>358</v>
      </c>
      <c r="F59" s="4">
        <f>HLOOKUP($E$4,'5.1 Bilan'!$F$3:$BF$226,54,0)</f>
        <v>0</v>
      </c>
    </row>
    <row r="60" spans="3:6" x14ac:dyDescent="0.25">
      <c r="D60">
        <v>1087</v>
      </c>
      <c r="E60" t="s">
        <v>359</v>
      </c>
      <c r="F60" s="4">
        <f>HLOOKUP($E$4,'5.1 Bilan'!$F$3:$BF$226,55,0)</f>
        <v>0</v>
      </c>
    </row>
    <row r="61" spans="3:6" x14ac:dyDescent="0.25">
      <c r="D61">
        <v>1088</v>
      </c>
      <c r="E61" t="s">
        <v>360</v>
      </c>
      <c r="F61" s="4">
        <f>HLOOKUP($E$4,'5.1 Bilan'!$F$3:$BF$226,56,0)</f>
        <v>0</v>
      </c>
    </row>
    <row r="62" spans="3:6" x14ac:dyDescent="0.25">
      <c r="D62">
        <v>1089</v>
      </c>
      <c r="E62" t="s">
        <v>361</v>
      </c>
      <c r="F62" s="4">
        <f>HLOOKUP($E$4,'5.1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HLOOKUP($E$4,'5.1 Bilan'!$F$3:$BF$226,60,0)</f>
        <v>0</v>
      </c>
    </row>
    <row r="66" spans="2:6" x14ac:dyDescent="0.25">
      <c r="D66">
        <v>1091</v>
      </c>
      <c r="E66" t="s">
        <v>363</v>
      </c>
      <c r="F66" s="4">
        <f>HLOOKUP($E$4,'5.1 Bilan'!$F$3:$BF$226,61,0)</f>
        <v>0</v>
      </c>
    </row>
    <row r="67" spans="2:6" x14ac:dyDescent="0.25">
      <c r="D67">
        <v>1092</v>
      </c>
      <c r="E67" t="s">
        <v>364</v>
      </c>
      <c r="F67" s="4">
        <f>HLOOKUP($E$4,'5.1 Bilan'!$F$3:$BF$226,62,0)</f>
        <v>0</v>
      </c>
    </row>
    <row r="68" spans="2:6" x14ac:dyDescent="0.25">
      <c r="D68">
        <v>1093</v>
      </c>
      <c r="E68" t="s">
        <v>365</v>
      </c>
      <c r="F68" s="4">
        <f>HLOOKUP($E$4,'5.1 Bilan'!$F$3:$BF$226,63,0)</f>
        <v>0</v>
      </c>
    </row>
    <row r="69" spans="2:6" x14ac:dyDescent="0.25">
      <c r="F69" s="4"/>
    </row>
    <row r="70" spans="2:6" x14ac:dyDescent="0.25">
      <c r="B70" s="76">
        <v>14</v>
      </c>
      <c r="C70" s="76"/>
      <c r="D70" s="76"/>
      <c r="E70" s="76" t="s">
        <v>254</v>
      </c>
      <c r="F70" s="77">
        <f>HLOOKUP($E$4,'5.1 Bilan'!$F$3:$BF$226,65,0)</f>
        <v>3533927.65</v>
      </c>
    </row>
    <row r="71" spans="2:6" x14ac:dyDescent="0.25">
      <c r="C71" s="69">
        <v>140</v>
      </c>
      <c r="D71" s="69"/>
      <c r="E71" s="69" t="s">
        <v>256</v>
      </c>
      <c r="F71" s="70">
        <f>SUM(F72:F80)</f>
        <v>3510208</v>
      </c>
    </row>
    <row r="72" spans="2:6" x14ac:dyDescent="0.25">
      <c r="D72">
        <v>1400</v>
      </c>
      <c r="E72" t="s">
        <v>366</v>
      </c>
      <c r="F72" s="4">
        <f>HLOOKUP($E$4,'5.1 Bilan'!$F$3:$BF$226,67,0)</f>
        <v>163195</v>
      </c>
    </row>
    <row r="73" spans="2:6" x14ac:dyDescent="0.25">
      <c r="D73">
        <v>1401</v>
      </c>
      <c r="E73" t="s">
        <v>367</v>
      </c>
      <c r="F73" s="4">
        <f>HLOOKUP($E$4,'5.1 Bilan'!$F$3:$BF$226,68,0)</f>
        <v>702000</v>
      </c>
    </row>
    <row r="74" spans="2:6" x14ac:dyDescent="0.25">
      <c r="D74">
        <v>1402</v>
      </c>
      <c r="E74" t="s">
        <v>368</v>
      </c>
      <c r="F74" s="4">
        <f>HLOOKUP($E$4,'5.1 Bilan'!$F$3:$BF$226,69,0)</f>
        <v>0</v>
      </c>
    </row>
    <row r="75" spans="2:6" x14ac:dyDescent="0.25">
      <c r="D75">
        <v>1403</v>
      </c>
      <c r="E75" t="s">
        <v>369</v>
      </c>
      <c r="F75" s="4">
        <f>HLOOKUP($E$4,'5.1 Bilan'!$F$3:$BF$226,70,0)</f>
        <v>254000</v>
      </c>
    </row>
    <row r="76" spans="2:6" x14ac:dyDescent="0.25">
      <c r="D76">
        <v>1404</v>
      </c>
      <c r="E76" t="s">
        <v>370</v>
      </c>
      <c r="F76" s="4">
        <f>HLOOKUP($E$4,'5.1 Bilan'!$F$3:$BF$226,71,0)</f>
        <v>1180000</v>
      </c>
    </row>
    <row r="77" spans="2:6" x14ac:dyDescent="0.25">
      <c r="D77">
        <v>1405</v>
      </c>
      <c r="E77" t="s">
        <v>371</v>
      </c>
      <c r="F77" s="4">
        <f>HLOOKUP($E$4,'5.1 Bilan'!$F$3:$BF$226,72,0)</f>
        <v>1211010</v>
      </c>
    </row>
    <row r="78" spans="2:6" x14ac:dyDescent="0.25">
      <c r="D78">
        <v>1406</v>
      </c>
      <c r="E78" t="s">
        <v>372</v>
      </c>
      <c r="F78" s="4">
        <f>HLOOKUP($E$4,'5.1 Bilan'!$F$3:$BF$226,73,0)</f>
        <v>3</v>
      </c>
    </row>
    <row r="79" spans="2:6" x14ac:dyDescent="0.25">
      <c r="D79">
        <v>1407</v>
      </c>
      <c r="E79" t="s">
        <v>373</v>
      </c>
      <c r="F79" s="4">
        <f>HLOOKUP($E$4,'5.1 Bilan'!$F$3:$BF$226,74,0)</f>
        <v>0</v>
      </c>
    </row>
    <row r="80" spans="2:6" x14ac:dyDescent="0.25">
      <c r="D80">
        <v>1409</v>
      </c>
      <c r="E80" t="s">
        <v>374</v>
      </c>
      <c r="F80" s="4">
        <f>HLOOKUP($E$4,'5.1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HLOOKUP($E$4,'5.1 Bilan'!$F$3:$BF$226,78,0)</f>
        <v>0</v>
      </c>
    </row>
    <row r="84" spans="3:6" x14ac:dyDescent="0.25">
      <c r="D84" s="79">
        <v>1421</v>
      </c>
      <c r="E84" s="79" t="s">
        <v>376</v>
      </c>
      <c r="F84" s="4">
        <f>HLOOKUP($E$4,'5.1 Bilan'!$F$3:$BF$226,79,0)</f>
        <v>0</v>
      </c>
    </row>
    <row r="85" spans="3:6" x14ac:dyDescent="0.25">
      <c r="D85" s="79">
        <v>1427</v>
      </c>
      <c r="E85" s="79" t="s">
        <v>593</v>
      </c>
      <c r="F85" s="4">
        <f>HLOOKUP($E$4,'5.1 Bilan'!$F$3:$BF$226,80,0)</f>
        <v>1219.6500000000001</v>
      </c>
    </row>
    <row r="86" spans="3:6" x14ac:dyDescent="0.25">
      <c r="D86" s="79">
        <v>1429</v>
      </c>
      <c r="E86" s="79" t="s">
        <v>476</v>
      </c>
      <c r="F86" s="4">
        <f>HLOOKUP($E$4,'5.1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HLOOKUP($E$4,'5.1 Bilan'!$F$3:$BF$226,84,0)</f>
        <v>0</v>
      </c>
    </row>
    <row r="90" spans="3:6" x14ac:dyDescent="0.25">
      <c r="D90">
        <v>1441</v>
      </c>
      <c r="E90" t="s">
        <v>379</v>
      </c>
      <c r="F90" s="4">
        <f>HLOOKUP($E$4,'5.1 Bilan'!$F$3:$BF$226,85,0)</f>
        <v>0</v>
      </c>
    </row>
    <row r="91" spans="3:6" x14ac:dyDescent="0.25">
      <c r="D91">
        <v>1442</v>
      </c>
      <c r="E91" t="s">
        <v>378</v>
      </c>
      <c r="F91" s="4">
        <f>HLOOKUP($E$4,'5.1 Bilan'!$F$3:$BF$226,86,0)</f>
        <v>22500</v>
      </c>
    </row>
    <row r="92" spans="3:6" x14ac:dyDescent="0.25">
      <c r="D92">
        <v>1443</v>
      </c>
      <c r="E92" t="s">
        <v>380</v>
      </c>
      <c r="F92" s="4">
        <f>HLOOKUP($E$4,'5.1 Bilan'!$F$3:$BF$226,87,0)</f>
        <v>0</v>
      </c>
    </row>
    <row r="93" spans="3:6" x14ac:dyDescent="0.25">
      <c r="D93">
        <v>1444</v>
      </c>
      <c r="E93" t="s">
        <v>381</v>
      </c>
      <c r="F93" s="4">
        <f>HLOOKUP($E$4,'5.1 Bilan'!$F$3:$BF$226,88,0)</f>
        <v>0</v>
      </c>
    </row>
    <row r="94" spans="3:6" x14ac:dyDescent="0.25">
      <c r="D94">
        <v>1445</v>
      </c>
      <c r="E94" t="s">
        <v>382</v>
      </c>
      <c r="F94" s="4">
        <f>HLOOKUP($E$4,'5.1 Bilan'!$F$3:$BF$226,89,0)</f>
        <v>0</v>
      </c>
    </row>
    <row r="95" spans="3:6" x14ac:dyDescent="0.25">
      <c r="D95">
        <v>1446</v>
      </c>
      <c r="E95" t="s">
        <v>383</v>
      </c>
      <c r="F95" s="4">
        <f>HLOOKUP($E$4,'5.1 Bilan'!$F$3:$BF$226,90,0)</f>
        <v>0</v>
      </c>
    </row>
    <row r="96" spans="3:6" x14ac:dyDescent="0.25">
      <c r="D96">
        <v>1447</v>
      </c>
      <c r="E96" t="s">
        <v>384</v>
      </c>
      <c r="F96" s="4">
        <f>HLOOKUP($E$4,'5.1 Bilan'!$F$3:$BF$226,91,0)</f>
        <v>0</v>
      </c>
    </row>
    <row r="97" spans="3:6" x14ac:dyDescent="0.25">
      <c r="D97">
        <v>1448</v>
      </c>
      <c r="E97" t="s">
        <v>385</v>
      </c>
      <c r="F97" s="4">
        <f>HLOOKUP($E$4,'5.1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HLOOKUP($E$4,'5.1 Bilan'!$F$3:$BF$226,95,0)</f>
        <v>0</v>
      </c>
    </row>
    <row r="101" spans="3:6" x14ac:dyDescent="0.25">
      <c r="D101">
        <v>1451</v>
      </c>
      <c r="E101" t="s">
        <v>386</v>
      </c>
      <c r="F101" s="4">
        <f>HLOOKUP($E$4,'5.1 Bilan'!$F$3:$BF$226,96,0)</f>
        <v>0</v>
      </c>
    </row>
    <row r="102" spans="3:6" x14ac:dyDescent="0.25">
      <c r="D102">
        <v>1452</v>
      </c>
      <c r="E102" t="s">
        <v>389</v>
      </c>
      <c r="F102" s="4">
        <f>HLOOKUP($E$4,'5.1 Bilan'!$F$3:$BF$226,97,0)</f>
        <v>0</v>
      </c>
    </row>
    <row r="103" spans="3:6" x14ac:dyDescent="0.25">
      <c r="D103">
        <v>1453</v>
      </c>
      <c r="E103" t="s">
        <v>390</v>
      </c>
      <c r="F103" s="4">
        <f>HLOOKUP($E$4,'5.1 Bilan'!$F$3:$BF$226,98,0)</f>
        <v>0</v>
      </c>
    </row>
    <row r="104" spans="3:6" x14ac:dyDescent="0.25">
      <c r="D104">
        <v>1454</v>
      </c>
      <c r="E104" t="s">
        <v>391</v>
      </c>
      <c r="F104" s="4">
        <f>HLOOKUP($E$4,'5.1 Bilan'!$F$3:$BF$226,99,0)</f>
        <v>0</v>
      </c>
    </row>
    <row r="105" spans="3:6" x14ac:dyDescent="0.25">
      <c r="D105">
        <v>1455</v>
      </c>
      <c r="E105" t="s">
        <v>392</v>
      </c>
      <c r="F105" s="4">
        <f>HLOOKUP($E$4,'5.1 Bilan'!$F$3:$BF$226,100,0)</f>
        <v>0</v>
      </c>
    </row>
    <row r="106" spans="3:6" x14ac:dyDescent="0.25">
      <c r="D106">
        <v>1456</v>
      </c>
      <c r="E106" t="s">
        <v>393</v>
      </c>
      <c r="F106" s="4">
        <f>HLOOKUP($E$4,'5.1 Bilan'!$F$3:$BF$226,101,0)</f>
        <v>0</v>
      </c>
    </row>
    <row r="107" spans="3:6" x14ac:dyDescent="0.25">
      <c r="D107">
        <v>1457</v>
      </c>
      <c r="E107" t="s">
        <v>394</v>
      </c>
      <c r="F107" s="4">
        <f>HLOOKUP($E$4,'5.1 Bilan'!$F$3:$BF$226,102,0)</f>
        <v>0</v>
      </c>
    </row>
    <row r="108" spans="3:6" x14ac:dyDescent="0.25">
      <c r="D108">
        <v>1458</v>
      </c>
      <c r="E108" t="s">
        <v>395</v>
      </c>
      <c r="F108" s="4">
        <f>HLOOKUP($E$4,'5.1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HLOOKUP($E$4,'5.1 Bilan'!$F$3:$BF$226,106,0)</f>
        <v>0</v>
      </c>
    </row>
    <row r="112" spans="3:6" x14ac:dyDescent="0.25">
      <c r="D112">
        <v>1461</v>
      </c>
      <c r="E112" t="s">
        <v>404</v>
      </c>
      <c r="F112" s="4">
        <f>HLOOKUP($E$4,'5.1 Bilan'!$F$3:$BF$226,107,0)</f>
        <v>0</v>
      </c>
    </row>
    <row r="113" spans="1:6" x14ac:dyDescent="0.25">
      <c r="D113">
        <v>1462</v>
      </c>
      <c r="E113" t="s">
        <v>396</v>
      </c>
      <c r="F113" s="4">
        <f>HLOOKUP($E$4,'5.1 Bilan'!$F$3:$BF$226,108,0)</f>
        <v>0</v>
      </c>
    </row>
    <row r="114" spans="1:6" x14ac:dyDescent="0.25">
      <c r="D114">
        <v>1463</v>
      </c>
      <c r="E114" t="s">
        <v>397</v>
      </c>
      <c r="F114" s="4">
        <f>HLOOKUP($E$4,'5.1 Bilan'!$F$3:$BF$226,109,0)</f>
        <v>0</v>
      </c>
    </row>
    <row r="115" spans="1:6" x14ac:dyDescent="0.25">
      <c r="D115">
        <v>1464</v>
      </c>
      <c r="E115" t="s">
        <v>398</v>
      </c>
      <c r="F115" s="4">
        <f>HLOOKUP($E$4,'5.1 Bilan'!$F$3:$BF$226,110,0)</f>
        <v>0</v>
      </c>
    </row>
    <row r="116" spans="1:6" x14ac:dyDescent="0.25">
      <c r="D116">
        <v>1465</v>
      </c>
      <c r="E116" t="s">
        <v>399</v>
      </c>
      <c r="F116" s="4">
        <f>HLOOKUP($E$4,'5.1 Bilan'!$F$3:$BF$226,111,0)</f>
        <v>0</v>
      </c>
    </row>
    <row r="117" spans="1:6" x14ac:dyDescent="0.25">
      <c r="D117">
        <v>1466</v>
      </c>
      <c r="E117" t="s">
        <v>405</v>
      </c>
      <c r="F117" s="4">
        <f>HLOOKUP($E$4,'5.1 Bilan'!$F$3:$BF$226,112,0)</f>
        <v>0</v>
      </c>
    </row>
    <row r="118" spans="1:6" x14ac:dyDescent="0.25">
      <c r="D118">
        <v>1467</v>
      </c>
      <c r="E118" t="s">
        <v>400</v>
      </c>
      <c r="F118" s="4">
        <f>HLOOKUP($E$4,'5.1 Bilan'!$F$3:$BF$226,113,0)</f>
        <v>0</v>
      </c>
    </row>
    <row r="119" spans="1:6" x14ac:dyDescent="0.25">
      <c r="D119">
        <v>1468</v>
      </c>
      <c r="E119" t="s">
        <v>401</v>
      </c>
      <c r="F119" s="4">
        <f>HLOOKUP($E$4,'5.1 Bilan'!$F$3:$BF$226,114,0)</f>
        <v>0</v>
      </c>
    </row>
    <row r="120" spans="1:6" x14ac:dyDescent="0.25">
      <c r="D120">
        <v>1469</v>
      </c>
      <c r="E120" t="s">
        <v>402</v>
      </c>
      <c r="F120" s="4">
        <f>HLOOKUP($E$4,'5.1 Bilan'!$F$3:$BF$226,115,0)</f>
        <v>0</v>
      </c>
    </row>
    <row r="121" spans="1:6" x14ac:dyDescent="0.25">
      <c r="F121" s="4"/>
    </row>
    <row r="122" spans="1:6" x14ac:dyDescent="0.25">
      <c r="F122" s="4"/>
    </row>
    <row r="123" spans="1:6" ht="21" x14ac:dyDescent="0.35">
      <c r="A123" s="81">
        <v>2</v>
      </c>
      <c r="B123" s="81"/>
      <c r="C123" s="81"/>
      <c r="D123" s="81"/>
      <c r="E123" s="81" t="s">
        <v>258</v>
      </c>
      <c r="F123" s="178">
        <f>HLOOKUP($E$4,'5.1 Bilan'!$F$3:$BF$226,118,0)</f>
        <v>6103718.5499999998</v>
      </c>
    </row>
    <row r="124" spans="1:6" x14ac:dyDescent="0.25">
      <c r="A124" s="7"/>
      <c r="B124" s="85">
        <v>20</v>
      </c>
      <c r="C124" s="85"/>
      <c r="D124" s="85"/>
      <c r="E124" s="85" t="s">
        <v>259</v>
      </c>
      <c r="F124" s="86">
        <f>HLOOKUP($E$4,'5.1 Bilan'!$F$3:$BF$226,119,0)</f>
        <v>4724519.8</v>
      </c>
    </row>
    <row r="125" spans="1:6" x14ac:dyDescent="0.25">
      <c r="C125" s="83">
        <v>200</v>
      </c>
      <c r="D125" s="83"/>
      <c r="E125" s="83" t="s">
        <v>260</v>
      </c>
      <c r="F125" s="84">
        <f>SUM(F126:F133)</f>
        <v>403308.85</v>
      </c>
    </row>
    <row r="126" spans="1:6" x14ac:dyDescent="0.25">
      <c r="D126">
        <v>2000</v>
      </c>
      <c r="E126" t="s">
        <v>407</v>
      </c>
      <c r="F126" s="4">
        <f>HLOOKUP($E$4,'5.1 Bilan'!$F$3:$BF$226,121,0)</f>
        <v>89314.75</v>
      </c>
    </row>
    <row r="127" spans="1:6" x14ac:dyDescent="0.25">
      <c r="D127">
        <v>2001</v>
      </c>
      <c r="E127" t="s">
        <v>408</v>
      </c>
      <c r="F127" s="4">
        <f>HLOOKUP($E$4,'5.1 Bilan'!$F$3:$BF$226,122,0)</f>
        <v>0</v>
      </c>
    </row>
    <row r="128" spans="1:6" x14ac:dyDescent="0.25">
      <c r="D128">
        <v>2002</v>
      </c>
      <c r="E128" t="s">
        <v>409</v>
      </c>
      <c r="F128" s="4">
        <f>HLOOKUP($E$4,'5.1 Bilan'!$F$3:$BF$226,123,0)</f>
        <v>10011.950000000001</v>
      </c>
    </row>
    <row r="129" spans="3:6" x14ac:dyDescent="0.25">
      <c r="D129">
        <v>2003</v>
      </c>
      <c r="E129" t="s">
        <v>410</v>
      </c>
      <c r="F129" s="4">
        <f>HLOOKUP($E$4,'5.1 Bilan'!$F$3:$BF$226,124,0)</f>
        <v>0</v>
      </c>
    </row>
    <row r="130" spans="3:6" x14ac:dyDescent="0.25">
      <c r="D130">
        <v>2004</v>
      </c>
      <c r="E130" t="s">
        <v>411</v>
      </c>
      <c r="F130" s="4">
        <f>HLOOKUP($E$4,'5.1 Bilan'!$F$3:$BF$226,125,0)</f>
        <v>103552</v>
      </c>
    </row>
    <row r="131" spans="3:6" x14ac:dyDescent="0.25">
      <c r="D131">
        <v>2005</v>
      </c>
      <c r="E131" t="s">
        <v>332</v>
      </c>
      <c r="F131" s="4">
        <f>HLOOKUP($E$4,'5.1 Bilan'!$F$3:$BF$226,126,0)</f>
        <v>200430.15</v>
      </c>
    </row>
    <row r="132" spans="3:6" x14ac:dyDescent="0.25">
      <c r="D132">
        <v>2006</v>
      </c>
      <c r="E132" t="s">
        <v>456</v>
      </c>
      <c r="F132" s="4">
        <f>HLOOKUP($E$4,'5.1 Bilan'!$F$3:$BF$226,127,0)</f>
        <v>0</v>
      </c>
    </row>
    <row r="133" spans="3:6" x14ac:dyDescent="0.25">
      <c r="D133">
        <v>2009</v>
      </c>
      <c r="E133" t="s">
        <v>413</v>
      </c>
      <c r="F133" s="4">
        <f>HLOOKUP($E$4,'5.1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HLOOKUP($E$4,'5.1 Bilan'!$F$3:$BF$226,131,0)</f>
        <v>1341</v>
      </c>
    </row>
    <row r="137" spans="3:6" x14ac:dyDescent="0.25">
      <c r="D137">
        <v>2011</v>
      </c>
      <c r="E137" t="s">
        <v>415</v>
      </c>
      <c r="F137" s="4">
        <f>HLOOKUP($E$4,'5.1 Bilan'!$F$3:$BF$226,132,0)</f>
        <v>0</v>
      </c>
    </row>
    <row r="138" spans="3:6" x14ac:dyDescent="0.25">
      <c r="D138">
        <v>2012</v>
      </c>
      <c r="E138" t="s">
        <v>416</v>
      </c>
      <c r="F138" s="4">
        <f>HLOOKUP($E$4,'5.1 Bilan'!$F$3:$BF$226,133,0)</f>
        <v>0</v>
      </c>
    </row>
    <row r="139" spans="3:6" x14ac:dyDescent="0.25">
      <c r="D139">
        <v>2013</v>
      </c>
      <c r="E139" t="s">
        <v>417</v>
      </c>
      <c r="F139" s="4">
        <f>HLOOKUP($E$4,'5.1 Bilan'!$F$3:$BF$226,134,0)</f>
        <v>0</v>
      </c>
    </row>
    <row r="140" spans="3:6" x14ac:dyDescent="0.25">
      <c r="D140">
        <v>2014</v>
      </c>
      <c r="E140" t="s">
        <v>419</v>
      </c>
      <c r="F140" s="4">
        <f>HLOOKUP($E$4,'5.1 Bilan'!$F$3:$BF$226,135,0)</f>
        <v>149085</v>
      </c>
    </row>
    <row r="141" spans="3:6" x14ac:dyDescent="0.25">
      <c r="D141">
        <v>2015</v>
      </c>
      <c r="E141" t="s">
        <v>418</v>
      </c>
      <c r="F141" s="4">
        <f>HLOOKUP($E$4,'5.1 Bilan'!$F$3:$BF$226,136,0)</f>
        <v>0</v>
      </c>
    </row>
    <row r="142" spans="3:6" x14ac:dyDescent="0.25">
      <c r="D142">
        <v>2016</v>
      </c>
      <c r="E142" t="s">
        <v>276</v>
      </c>
      <c r="F142" s="4">
        <f>HLOOKUP($E$4,'5.1 Bilan'!$F$3:$BF$226,137,0)</f>
        <v>0</v>
      </c>
    </row>
    <row r="143" spans="3:6" x14ac:dyDescent="0.25">
      <c r="D143">
        <v>2019</v>
      </c>
      <c r="E143" t="s">
        <v>420</v>
      </c>
      <c r="F143" s="4">
        <f>HLOOKUP($E$4,'5.1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HLOOKUP($E$4,'5.1 Bilan'!$F$3:$BF$226,141,0)</f>
        <v>0</v>
      </c>
    </row>
    <row r="147" spans="3:6" x14ac:dyDescent="0.25">
      <c r="D147">
        <v>2041</v>
      </c>
      <c r="E147" t="s">
        <v>284</v>
      </c>
      <c r="F147" s="4">
        <f>HLOOKUP($E$4,'5.1 Bilan'!$F$3:$BF$226,142,0)</f>
        <v>71826.45</v>
      </c>
    </row>
    <row r="148" spans="3:6" x14ac:dyDescent="0.25">
      <c r="D148">
        <v>2042</v>
      </c>
      <c r="E148" t="s">
        <v>340</v>
      </c>
      <c r="F148" s="4">
        <f>HLOOKUP($E$4,'5.1 Bilan'!$F$3:$BF$226,143,0)</f>
        <v>0</v>
      </c>
    </row>
    <row r="149" spans="3:6" x14ac:dyDescent="0.25">
      <c r="D149">
        <v>2043</v>
      </c>
      <c r="E149" t="s">
        <v>341</v>
      </c>
      <c r="F149" s="4">
        <f>HLOOKUP($E$4,'5.1 Bilan'!$F$3:$BF$226,144,0)</f>
        <v>224636.55</v>
      </c>
    </row>
    <row r="150" spans="3:6" x14ac:dyDescent="0.25">
      <c r="D150">
        <v>2044</v>
      </c>
      <c r="E150" t="s">
        <v>421</v>
      </c>
      <c r="F150" s="4">
        <f>HLOOKUP($E$4,'5.1 Bilan'!$F$3:$BF$226,145,0)</f>
        <v>0</v>
      </c>
    </row>
    <row r="151" spans="3:6" x14ac:dyDescent="0.25">
      <c r="D151">
        <v>2045</v>
      </c>
      <c r="E151" t="s">
        <v>343</v>
      </c>
      <c r="F151" s="4">
        <f>HLOOKUP($E$4,'5.1 Bilan'!$F$3:$BF$226,146,0)</f>
        <v>0</v>
      </c>
    </row>
    <row r="152" spans="3:6" x14ac:dyDescent="0.25">
      <c r="D152">
        <v>2046</v>
      </c>
      <c r="E152" t="s">
        <v>422</v>
      </c>
      <c r="F152" s="4">
        <f>HLOOKUP($E$4,'5.1 Bilan'!$F$3:$BF$226,147,0)</f>
        <v>0</v>
      </c>
    </row>
    <row r="153" spans="3:6" x14ac:dyDescent="0.25">
      <c r="D153">
        <v>2049</v>
      </c>
      <c r="E153" t="s">
        <v>423</v>
      </c>
      <c r="F153" s="4">
        <f>HLOOKUP($E$4,'5.1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HLOOKUP($E$4,'5.1 Bilan'!$F$3:$BF$226,151,0)</f>
        <v>0</v>
      </c>
    </row>
    <row r="157" spans="3:6" x14ac:dyDescent="0.25">
      <c r="D157">
        <v>2051</v>
      </c>
      <c r="E157" t="s">
        <v>425</v>
      </c>
      <c r="F157" s="4">
        <f>HLOOKUP($E$4,'5.1 Bilan'!$F$3:$BF$226,152,0)</f>
        <v>0</v>
      </c>
    </row>
    <row r="158" spans="3:6" x14ac:dyDescent="0.25">
      <c r="D158">
        <v>2052</v>
      </c>
      <c r="E158" t="s">
        <v>426</v>
      </c>
      <c r="F158" s="4">
        <f>HLOOKUP($E$4,'5.1 Bilan'!$F$3:$BF$226,153,0)</f>
        <v>0</v>
      </c>
    </row>
    <row r="159" spans="3:6" x14ac:dyDescent="0.25">
      <c r="D159">
        <v>2053</v>
      </c>
      <c r="E159" t="s">
        <v>430</v>
      </c>
      <c r="F159" s="4">
        <f>HLOOKUP($E$4,'5.1 Bilan'!$F$3:$BF$226,154,0)</f>
        <v>0</v>
      </c>
    </row>
    <row r="160" spans="3:6" x14ac:dyDescent="0.25">
      <c r="D160">
        <v>2054</v>
      </c>
      <c r="E160" t="s">
        <v>428</v>
      </c>
      <c r="F160" s="4">
        <f>HLOOKUP($E$4,'5.1 Bilan'!$F$3:$BF$226,155,0)</f>
        <v>0</v>
      </c>
    </row>
    <row r="161" spans="3:6" x14ac:dyDescent="0.25">
      <c r="D161">
        <v>2055</v>
      </c>
      <c r="E161" t="s">
        <v>427</v>
      </c>
      <c r="F161" s="4">
        <f>HLOOKUP($E$4,'5.1 Bilan'!$F$3:$BF$226,156,0)</f>
        <v>0</v>
      </c>
    </row>
    <row r="162" spans="3:6" x14ac:dyDescent="0.25">
      <c r="D162">
        <v>2056</v>
      </c>
      <c r="E162" t="s">
        <v>429</v>
      </c>
      <c r="F162" s="4">
        <f>HLOOKUP($E$4,'5.1 Bilan'!$F$3:$BF$226,157,0)</f>
        <v>0</v>
      </c>
    </row>
    <row r="163" spans="3:6" x14ac:dyDescent="0.25">
      <c r="D163">
        <v>2057</v>
      </c>
      <c r="E163" t="s">
        <v>431</v>
      </c>
      <c r="F163" s="4">
        <f>HLOOKUP($E$4,'5.1 Bilan'!$F$3:$BF$226,158,0)</f>
        <v>0</v>
      </c>
    </row>
    <row r="164" spans="3:6" x14ac:dyDescent="0.25">
      <c r="D164">
        <v>2058</v>
      </c>
      <c r="E164" t="s">
        <v>432</v>
      </c>
      <c r="F164" s="4">
        <f>HLOOKUP($E$4,'5.1 Bilan'!$F$3:$BF$226,159,0)</f>
        <v>0</v>
      </c>
    </row>
    <row r="165" spans="3:6" x14ac:dyDescent="0.25">
      <c r="D165">
        <v>2059</v>
      </c>
      <c r="E165" t="s">
        <v>433</v>
      </c>
      <c r="F165" s="4">
        <f>HLOOKUP($E$4,'5.1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HLOOKUP($E$4,'5.1 Bilan'!$F$3:$BF$226,163,0)</f>
        <v>0</v>
      </c>
    </row>
    <row r="169" spans="3:6" x14ac:dyDescent="0.25">
      <c r="D169">
        <v>2062</v>
      </c>
      <c r="E169" t="s">
        <v>435</v>
      </c>
      <c r="F169" s="4">
        <f>HLOOKUP($E$4,'5.1 Bilan'!$F$3:$BF$226,164,0)</f>
        <v>0</v>
      </c>
    </row>
    <row r="170" spans="3:6" x14ac:dyDescent="0.25">
      <c r="D170">
        <v>2063</v>
      </c>
      <c r="E170" t="s">
        <v>436</v>
      </c>
      <c r="F170" s="4">
        <f>HLOOKUP($E$4,'5.1 Bilan'!$F$3:$BF$226,165,0)</f>
        <v>3874321.95</v>
      </c>
    </row>
    <row r="171" spans="3:6" x14ac:dyDescent="0.25">
      <c r="D171">
        <v>2064</v>
      </c>
      <c r="E171" t="s">
        <v>457</v>
      </c>
      <c r="F171" s="4">
        <f>HLOOKUP($E$4,'5.1 Bilan'!$F$3:$BF$226,166,0)</f>
        <v>0</v>
      </c>
    </row>
    <row r="172" spans="3:6" x14ac:dyDescent="0.25">
      <c r="D172">
        <v>2067</v>
      </c>
      <c r="E172" t="s">
        <v>438</v>
      </c>
      <c r="F172" s="4">
        <f>HLOOKUP($E$4,'5.1 Bilan'!$F$3:$BF$226,167,0)</f>
        <v>0</v>
      </c>
    </row>
    <row r="173" spans="3:6" x14ac:dyDescent="0.25">
      <c r="D173">
        <v>2069</v>
      </c>
      <c r="E173" t="s">
        <v>439</v>
      </c>
      <c r="F173" s="4">
        <f>HLOOKUP($E$4,'5.1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HLOOKUP($E$4,'5.1 Bilan'!$F$3:$BF$226,171,0)</f>
        <v>0</v>
      </c>
    </row>
    <row r="177" spans="2:6" x14ac:dyDescent="0.25">
      <c r="D177">
        <v>2082</v>
      </c>
      <c r="E177" t="s">
        <v>441</v>
      </c>
      <c r="F177" s="4">
        <f>HLOOKUP($E$4,'5.1 Bilan'!$F$3:$BF$226,172,0)</f>
        <v>0</v>
      </c>
    </row>
    <row r="178" spans="2:6" x14ac:dyDescent="0.25">
      <c r="D178">
        <v>2083</v>
      </c>
      <c r="E178" t="s">
        <v>442</v>
      </c>
      <c r="F178" s="4">
        <f>HLOOKUP($E$4,'5.1 Bilan'!$F$3:$BF$226,173,0)</f>
        <v>0</v>
      </c>
    </row>
    <row r="179" spans="2:6" x14ac:dyDescent="0.25">
      <c r="D179">
        <v>2084</v>
      </c>
      <c r="E179" t="s">
        <v>443</v>
      </c>
      <c r="F179" s="4">
        <f>HLOOKUP($E$4,'5.1 Bilan'!$F$3:$BF$226,174,0)</f>
        <v>0</v>
      </c>
    </row>
    <row r="180" spans="2:6" x14ac:dyDescent="0.25">
      <c r="D180">
        <v>2085</v>
      </c>
      <c r="E180" t="s">
        <v>445</v>
      </c>
      <c r="F180" s="4">
        <f>HLOOKUP($E$4,'5.1 Bilan'!$F$3:$BF$226,175,0)</f>
        <v>0</v>
      </c>
    </row>
    <row r="181" spans="2:6" x14ac:dyDescent="0.25">
      <c r="D181">
        <v>2086</v>
      </c>
      <c r="E181" t="s">
        <v>444</v>
      </c>
      <c r="F181" s="4">
        <f>HLOOKUP($E$4,'5.1 Bilan'!$F$3:$BF$226,176,0)</f>
        <v>0</v>
      </c>
    </row>
    <row r="182" spans="2:6" x14ac:dyDescent="0.25">
      <c r="D182">
        <v>2087</v>
      </c>
      <c r="E182" t="s">
        <v>446</v>
      </c>
      <c r="F182" s="4">
        <f>HLOOKUP($E$4,'5.1 Bilan'!$F$3:$BF$226,177,0)</f>
        <v>0</v>
      </c>
    </row>
    <row r="183" spans="2:6" x14ac:dyDescent="0.25">
      <c r="D183">
        <v>2088</v>
      </c>
      <c r="E183" t="s">
        <v>447</v>
      </c>
      <c r="F183" s="4">
        <f>HLOOKUP($E$4,'5.1 Bilan'!$F$3:$BF$226,178,0)</f>
        <v>0</v>
      </c>
    </row>
    <row r="184" spans="2:6" x14ac:dyDescent="0.25">
      <c r="D184">
        <v>2089</v>
      </c>
      <c r="E184" t="s">
        <v>448</v>
      </c>
      <c r="F184" s="4">
        <f>HLOOKUP($E$4,'5.1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HLOOKUP($E$4,'5.1 Bilan'!$F$3:$BF$226,182,0)</f>
        <v>0</v>
      </c>
    </row>
    <row r="188" spans="2:6" x14ac:dyDescent="0.25">
      <c r="D188">
        <v>2091</v>
      </c>
      <c r="E188" t="s">
        <v>449</v>
      </c>
      <c r="F188" s="4">
        <f>HLOOKUP($E$4,'5.1 Bilan'!$F$3:$BF$226,183,0)</f>
        <v>0</v>
      </c>
    </row>
    <row r="189" spans="2:6" x14ac:dyDescent="0.25">
      <c r="D189">
        <v>2092</v>
      </c>
      <c r="E189" t="s">
        <v>450</v>
      </c>
      <c r="F189" s="4">
        <f>HLOOKUP($E$4,'5.1 Bilan'!$F$3:$BF$226,184,0)</f>
        <v>0</v>
      </c>
    </row>
    <row r="190" spans="2:6" x14ac:dyDescent="0.25">
      <c r="D190">
        <v>2093</v>
      </c>
      <c r="E190" t="s">
        <v>451</v>
      </c>
      <c r="F190" s="4">
        <f>HLOOKUP($E$4,'5.1 Bilan'!$F$3:$BF$226,185,0)</f>
        <v>0</v>
      </c>
    </row>
    <row r="191" spans="2:6" x14ac:dyDescent="0.25">
      <c r="F191" s="4"/>
    </row>
    <row r="192" spans="2:6" x14ac:dyDescent="0.25">
      <c r="B192" s="85">
        <v>29</v>
      </c>
      <c r="C192" s="85"/>
      <c r="D192" s="85"/>
      <c r="E192" s="85" t="s">
        <v>267</v>
      </c>
      <c r="F192" s="86">
        <f>HLOOKUP($E$4,'5.1 Bilan'!$F$3:$BF$226,187,0)</f>
        <v>1379198.75</v>
      </c>
    </row>
    <row r="193" spans="3:6" x14ac:dyDescent="0.25">
      <c r="C193" s="83">
        <v>290</v>
      </c>
      <c r="D193" s="83"/>
      <c r="E193" s="83" t="s">
        <v>268</v>
      </c>
      <c r="F193" s="84">
        <f>SUM(F194)</f>
        <v>760054.2</v>
      </c>
    </row>
    <row r="194" spans="3:6" x14ac:dyDescent="0.25">
      <c r="D194">
        <v>2900</v>
      </c>
      <c r="E194" t="s">
        <v>268</v>
      </c>
      <c r="F194" s="4">
        <f>HLOOKUP($E$4,'5.1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HLOOKUP($E$4,'5.1 Bilan'!$F$3:$BF$226,192,0)</f>
        <v>0</v>
      </c>
    </row>
    <row r="198" spans="3:6" x14ac:dyDescent="0.25">
      <c r="D198">
        <v>2911</v>
      </c>
      <c r="E198" t="s">
        <v>452</v>
      </c>
      <c r="F198" s="4">
        <f>HLOOKUP($E$4,'5.1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HLOOKUP($E$4,'5.1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HLOOKUP($E$4,'5.1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HLOOKUP($E$4,'5.1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HLOOKUP($E$4,'5.1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HLOOKUP($E$4,'5.1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HLOOKUP($E$4,'5.1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HLOOKUP($E$4,'5.1 Bilan'!$F$3:$BF$226,214,0)</f>
        <v>26545.08</v>
      </c>
    </row>
    <row r="220" spans="3:6" x14ac:dyDescent="0.25">
      <c r="D220">
        <v>2999</v>
      </c>
      <c r="E220" t="s">
        <v>595</v>
      </c>
      <c r="F220" s="4">
        <f>HLOOKUP($E$4,'5.1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HLOOKUP($E$4,'5.1 Bilan'!$F$3:$BF$226,218,0)</f>
        <v>41403.599999999999</v>
      </c>
    </row>
    <row r="224" spans="3:6" x14ac:dyDescent="0.25">
      <c r="D224">
        <v>2990</v>
      </c>
      <c r="E224" t="s">
        <v>605</v>
      </c>
      <c r="F224" s="4">
        <f>HLOOKUP($E$4,'5.1 Bilan'!$F$3:$BF$226,219,0)</f>
        <v>26545.08</v>
      </c>
    </row>
    <row r="225" spans="5:6" x14ac:dyDescent="0.25">
      <c r="F225" s="4"/>
    </row>
    <row r="226" spans="5:6" x14ac:dyDescent="0.25">
      <c r="E226" s="7" t="s">
        <v>604</v>
      </c>
      <c r="F226" s="4">
        <f>HLOOKUP($E$4,'5.1 Bilan'!$F$3:$BF$226,221,0)</f>
        <v>67948.679999999993</v>
      </c>
    </row>
    <row r="227" spans="5:6" x14ac:dyDescent="0.25">
      <c r="F227" s="4"/>
    </row>
    <row r="228" spans="5:6" x14ac:dyDescent="0.25">
      <c r="E228" s="60" t="s">
        <v>603</v>
      </c>
      <c r="F228" s="4">
        <f>HLOOKUP($E$4,'5.1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'5.1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5" x14ac:dyDescent="0.25"/>
  <cols>
    <col min="1" max="1" width="31.28515625" customWidth="1"/>
    <col min="2" max="3" width="19.28515625" customWidth="1"/>
  </cols>
  <sheetData>
    <row r="1" spans="1:3" ht="15.75" x14ac:dyDescent="0.25">
      <c r="A1" s="205" t="s">
        <v>784</v>
      </c>
    </row>
    <row r="2" spans="1:3" ht="15.75" x14ac:dyDescent="0.25">
      <c r="A2" s="205"/>
    </row>
    <row r="3" spans="1:3" x14ac:dyDescent="0.25">
      <c r="A3" t="s">
        <v>67</v>
      </c>
      <c r="B3" s="157" t="s">
        <v>785</v>
      </c>
      <c r="C3" s="157" t="s">
        <v>786</v>
      </c>
    </row>
    <row r="4" spans="1:3" x14ac:dyDescent="0.25">
      <c r="A4" s="206" t="s">
        <v>56</v>
      </c>
      <c r="B4" s="101">
        <f>'4.1 Comptes 2020 natures'!AZ153</f>
        <v>79042.83</v>
      </c>
      <c r="C4" s="101">
        <f>'4.9 Comptes 2020 par habitant'!E153</f>
        <v>366.27193932827737</v>
      </c>
    </row>
    <row r="5" spans="1:3" x14ac:dyDescent="0.25">
      <c r="A5" s="206" t="s">
        <v>18</v>
      </c>
      <c r="B5" s="101">
        <f>'4.1 Comptes 2020 natures'!F153</f>
        <v>183367.53000000003</v>
      </c>
      <c r="C5" s="101">
        <f>'4.9 Comptes 2020 par habitant'!F153</f>
        <v>679.13900000000012</v>
      </c>
    </row>
    <row r="6" spans="1:3" x14ac:dyDescent="0.25">
      <c r="A6" s="206" t="s">
        <v>57</v>
      </c>
      <c r="B6" s="101">
        <f>'4.1 Comptes 2020 natures'!G153</f>
        <v>-29321.279999999999</v>
      </c>
      <c r="C6" s="101">
        <f>'4.9 Comptes 2020 par habitant'!G153</f>
        <v>-60.456247422680406</v>
      </c>
    </row>
    <row r="7" spans="1:3" x14ac:dyDescent="0.25">
      <c r="A7" s="206" t="s">
        <v>53</v>
      </c>
      <c r="B7" s="101">
        <f>'4.1 Comptes 2020 natures'!H153</f>
        <v>21653.66</v>
      </c>
      <c r="C7" s="101">
        <f>'4.9 Comptes 2020 par habitant'!H153</f>
        <v>48.550807174887893</v>
      </c>
    </row>
    <row r="8" spans="1:3" x14ac:dyDescent="0.25">
      <c r="A8" s="206" t="s">
        <v>33</v>
      </c>
      <c r="B8" s="101">
        <f>'4.1 Comptes 2020 natures'!I153</f>
        <v>461623.62999999995</v>
      </c>
      <c r="C8" s="101">
        <f>'4.9 Comptes 2020 par habitant'!I153</f>
        <v>127.13402093087302</v>
      </c>
    </row>
    <row r="9" spans="1:3" x14ac:dyDescent="0.25">
      <c r="A9" s="206" t="s">
        <v>10</v>
      </c>
      <c r="B9" s="101">
        <f>'4.1 Comptes 2020 natures'!J153</f>
        <v>1051215.94</v>
      </c>
      <c r="C9" s="101">
        <f>'4.9 Comptes 2020 par habitant'!J153</f>
        <v>317.30031391488075</v>
      </c>
    </row>
    <row r="10" spans="1:3" x14ac:dyDescent="0.25">
      <c r="A10" s="206" t="s">
        <v>15</v>
      </c>
      <c r="B10" s="101">
        <f>'4.1 Comptes 2020 natures'!K153</f>
        <v>253856.48</v>
      </c>
      <c r="C10" s="101">
        <f>'4.9 Comptes 2020 par habitant'!K153</f>
        <v>96.012284417549182</v>
      </c>
    </row>
    <row r="11" spans="1:3" x14ac:dyDescent="0.25">
      <c r="A11" s="206" t="s">
        <v>28</v>
      </c>
      <c r="B11" s="101">
        <f>'4.1 Comptes 2020 natures'!L153</f>
        <v>2089673.1800000002</v>
      </c>
      <c r="C11" s="101">
        <f>'4.9 Comptes 2020 par habitant'!L153</f>
        <v>165.61049136154702</v>
      </c>
    </row>
    <row r="12" spans="1:3" x14ac:dyDescent="0.25">
      <c r="A12" s="206" t="s">
        <v>42</v>
      </c>
      <c r="B12" s="101">
        <f>'4.1 Comptes 2020 natures'!M153</f>
        <v>-1352.8600000000151</v>
      </c>
      <c r="C12" s="101">
        <f>'4.9 Comptes 2020 par habitant'!M153</f>
        <v>-0.98676878191102446</v>
      </c>
    </row>
    <row r="13" spans="1:3" x14ac:dyDescent="0.25">
      <c r="A13" s="206" t="s">
        <v>23</v>
      </c>
      <c r="B13" s="101">
        <f>'4.1 Comptes 2020 natures'!N153</f>
        <v>-63918.92</v>
      </c>
      <c r="C13" s="101">
        <f>'4.9 Comptes 2020 par habitant'!N153</f>
        <v>-541.68576271186441</v>
      </c>
    </row>
    <row r="14" spans="1:3" x14ac:dyDescent="0.25">
      <c r="A14" s="206" t="s">
        <v>22</v>
      </c>
      <c r="B14" s="101">
        <f>'4.1 Comptes 2020 natures'!O153</f>
        <v>-1177403.47</v>
      </c>
      <c r="C14" s="101">
        <f>'4.9 Comptes 2020 par habitant'!O153</f>
        <v>-164.281215292312</v>
      </c>
    </row>
    <row r="15" spans="1:3" x14ac:dyDescent="0.25">
      <c r="A15" s="206" t="s">
        <v>13</v>
      </c>
      <c r="B15" s="101">
        <f>'4.1 Comptes 2020 natures'!P153</f>
        <v>-93731.8</v>
      </c>
      <c r="C15" s="101">
        <f>'4.9 Comptes 2020 par habitant'!P153</f>
        <v>-177.52234848484849</v>
      </c>
    </row>
    <row r="16" spans="1:3" x14ac:dyDescent="0.25">
      <c r="A16" s="206" t="s">
        <v>17</v>
      </c>
      <c r="B16" s="101">
        <f>'4.1 Comptes 2020 natures'!Q153</f>
        <v>-9460.8100000000013</v>
      </c>
      <c r="C16" s="101">
        <f>'4.9 Comptes 2020 par habitant'!Q153</f>
        <v>-87.600092592592631</v>
      </c>
    </row>
    <row r="17" spans="1:3" x14ac:dyDescent="0.25">
      <c r="A17" s="206" t="s">
        <v>43</v>
      </c>
      <c r="B17" s="101">
        <f>'4.1 Comptes 2020 natures'!R153</f>
        <v>-16853.579999999998</v>
      </c>
      <c r="C17" s="101">
        <f>'4.9 Comptes 2020 par habitant'!R153</f>
        <v>-40.611036144578307</v>
      </c>
    </row>
    <row r="18" spans="1:3" x14ac:dyDescent="0.25">
      <c r="A18" s="206" t="s">
        <v>40</v>
      </c>
      <c r="B18" s="101">
        <f>'4.1 Comptes 2020 natures'!S153</f>
        <v>-13071.369999999995</v>
      </c>
      <c r="C18" s="101">
        <f>'4.9 Comptes 2020 par habitant'!S153</f>
        <v>-37.453782234956975</v>
      </c>
    </row>
    <row r="19" spans="1:3" x14ac:dyDescent="0.25">
      <c r="A19" s="206" t="s">
        <v>31</v>
      </c>
      <c r="B19" s="101">
        <f>'4.1 Comptes 2020 natures'!T153</f>
        <v>262757.42</v>
      </c>
      <c r="C19" s="101">
        <f>'4.9 Comptes 2020 par habitant'!T153</f>
        <v>382.47077147016012</v>
      </c>
    </row>
    <row r="20" spans="1:3" x14ac:dyDescent="0.25">
      <c r="A20" s="206" t="s">
        <v>12</v>
      </c>
      <c r="B20" s="101">
        <f>'4.1 Comptes 2020 natures'!U153</f>
        <v>9048.7099999999991</v>
      </c>
      <c r="C20" s="101">
        <f>'4.9 Comptes 2020 par habitant'!U153</f>
        <v>35.485137254901964</v>
      </c>
    </row>
    <row r="21" spans="1:3" x14ac:dyDescent="0.25">
      <c r="A21" s="206" t="s">
        <v>59</v>
      </c>
      <c r="B21" s="101">
        <f>'4.1 Comptes 2020 natures'!V153</f>
        <v>-152377.16</v>
      </c>
      <c r="C21" s="101">
        <f>'4.9 Comptes 2020 par habitant'!V153</f>
        <v>-349.48889908256882</v>
      </c>
    </row>
    <row r="22" spans="1:3" x14ac:dyDescent="0.25">
      <c r="A22" s="206" t="s">
        <v>27</v>
      </c>
      <c r="B22" s="101">
        <f>'4.1 Comptes 2020 natures'!W153</f>
        <v>364711.41000000003</v>
      </c>
      <c r="C22" s="101">
        <f>'4.9 Comptes 2020 par habitant'!W153</f>
        <v>114.32959561128527</v>
      </c>
    </row>
    <row r="23" spans="1:3" x14ac:dyDescent="0.25">
      <c r="A23" s="206" t="s">
        <v>30</v>
      </c>
      <c r="B23" s="101">
        <f>'4.1 Comptes 2020 natures'!X153</f>
        <v>26286.14</v>
      </c>
      <c r="C23" s="101">
        <f>'4.9 Comptes 2020 par habitant'!X153</f>
        <v>81.130061728395063</v>
      </c>
    </row>
    <row r="24" spans="1:3" x14ac:dyDescent="0.25">
      <c r="A24" s="206" t="s">
        <v>20</v>
      </c>
      <c r="B24" s="101">
        <f>'4.1 Comptes 2020 natures'!Y153</f>
        <v>178997.68</v>
      </c>
      <c r="C24" s="101">
        <f>'4.9 Comptes 2020 par habitant'!Y153</f>
        <v>143.65784911717495</v>
      </c>
    </row>
    <row r="25" spans="1:3" x14ac:dyDescent="0.25">
      <c r="A25" s="206" t="s">
        <v>45</v>
      </c>
      <c r="B25" s="101">
        <f>'4.1 Comptes 2020 natures'!Z153</f>
        <v>3517719.9899999998</v>
      </c>
      <c r="C25" s="101">
        <f>'4.9 Comptes 2020 par habitant'!Z153</f>
        <v>2302.1727683246072</v>
      </c>
    </row>
    <row r="26" spans="1:3" x14ac:dyDescent="0.25">
      <c r="A26" s="206" t="s">
        <v>71</v>
      </c>
      <c r="B26" s="101">
        <f>'4.1 Comptes 2020 natures'!AA153</f>
        <v>-11170.27</v>
      </c>
      <c r="C26" s="101">
        <f>'4.9 Comptes 2020 par habitant'!AA153</f>
        <v>-116.35697916666668</v>
      </c>
    </row>
    <row r="27" spans="1:3" x14ac:dyDescent="0.25">
      <c r="A27" s="206" t="s">
        <v>39</v>
      </c>
      <c r="B27" s="101">
        <f>'4.1 Comptes 2020 natures'!AB153</f>
        <v>41421.78</v>
      </c>
      <c r="C27" s="101">
        <f>'4.9 Comptes 2020 par habitant'!AB153</f>
        <v>277.99852348993289</v>
      </c>
    </row>
    <row r="28" spans="1:3" x14ac:dyDescent="0.25">
      <c r="A28" s="206" t="s">
        <v>19</v>
      </c>
      <c r="B28" s="101">
        <f>'4.1 Comptes 2020 natures'!AC153</f>
        <v>-114596.97</v>
      </c>
      <c r="C28" s="101">
        <f>'4.9 Comptes 2020 par habitant'!AC153</f>
        <v>-222.08715116279069</v>
      </c>
    </row>
    <row r="29" spans="1:3" x14ac:dyDescent="0.25">
      <c r="A29" s="206" t="s">
        <v>41</v>
      </c>
      <c r="B29" s="101">
        <f>'4.1 Comptes 2020 natures'!AD153</f>
        <v>-99000.459999999992</v>
      </c>
      <c r="C29" s="101">
        <f>'4.9 Comptes 2020 par habitant'!AD153</f>
        <v>-147.54166915052161</v>
      </c>
    </row>
    <row r="30" spans="1:3" x14ac:dyDescent="0.25">
      <c r="A30" s="206" t="s">
        <v>36</v>
      </c>
      <c r="B30" s="101">
        <f>'4.1 Comptes 2020 natures'!AE153</f>
        <v>-194273.68</v>
      </c>
      <c r="C30" s="101">
        <f>'4.9 Comptes 2020 par habitant'!AE153</f>
        <v>-339.63930069930069</v>
      </c>
    </row>
    <row r="31" spans="1:3" x14ac:dyDescent="0.25">
      <c r="A31" s="206" t="s">
        <v>7</v>
      </c>
      <c r="B31" s="101">
        <f>'4.1 Comptes 2020 natures'!AF153</f>
        <v>122538.76</v>
      </c>
      <c r="C31" s="101">
        <f>'4.9 Comptes 2020 par habitant'!AF153</f>
        <v>250.07910204081634</v>
      </c>
    </row>
    <row r="32" spans="1:3" x14ac:dyDescent="0.25">
      <c r="A32" s="206" t="s">
        <v>55</v>
      </c>
      <c r="B32" s="101">
        <f>'4.1 Comptes 2020 natures'!AG153</f>
        <v>1107210.3</v>
      </c>
      <c r="C32" s="101">
        <f>'4.9 Comptes 2020 par habitant'!AG153</f>
        <v>578.47978056426336</v>
      </c>
    </row>
    <row r="33" spans="1:3" x14ac:dyDescent="0.25">
      <c r="A33" s="206" t="s">
        <v>21</v>
      </c>
      <c r="B33" s="101">
        <f>'4.1 Comptes 2020 natures'!AH153</f>
        <v>243887.35</v>
      </c>
      <c r="C33" s="101">
        <f>'4.9 Comptes 2020 par habitant'!AH153</f>
        <v>93.264760994263867</v>
      </c>
    </row>
    <row r="34" spans="1:3" x14ac:dyDescent="0.25">
      <c r="A34" s="206" t="s">
        <v>6</v>
      </c>
      <c r="B34" s="101">
        <f>'4.1 Comptes 2020 natures'!AI153</f>
        <v>-5355.96</v>
      </c>
      <c r="C34" s="101">
        <f>'4.9 Comptes 2020 par habitant'!AI153</f>
        <v>-23.594537444933923</v>
      </c>
    </row>
    <row r="35" spans="1:3" x14ac:dyDescent="0.25">
      <c r="A35" s="206" t="s">
        <v>34</v>
      </c>
      <c r="B35" s="101">
        <f>'4.1 Comptes 2020 natures'!AJ153</f>
        <v>22586.400000000001</v>
      </c>
      <c r="C35" s="101">
        <f>'4.9 Comptes 2020 par habitant'!AJ153</f>
        <v>172.41526717557252</v>
      </c>
    </row>
    <row r="36" spans="1:3" x14ac:dyDescent="0.25">
      <c r="A36" s="206" t="s">
        <v>52</v>
      </c>
      <c r="B36" s="101">
        <f>'4.1 Comptes 2020 natures'!AK153</f>
        <v>153720</v>
      </c>
      <c r="C36" s="101">
        <f>'4.9 Comptes 2020 par habitant'!AK153</f>
        <v>81.118733509234829</v>
      </c>
    </row>
    <row r="37" spans="1:3" x14ac:dyDescent="0.25">
      <c r="A37" s="206" t="s">
        <v>14</v>
      </c>
      <c r="B37" s="101">
        <f>'4.1 Comptes 2020 natures'!AL153</f>
        <v>-32824.589999999997</v>
      </c>
      <c r="C37" s="101">
        <f>'4.9 Comptes 2020 par habitant'!AL153</f>
        <v>-28.920343612334797</v>
      </c>
    </row>
    <row r="38" spans="1:3" x14ac:dyDescent="0.25">
      <c r="A38" s="206" t="s">
        <v>32</v>
      </c>
      <c r="B38" s="101">
        <f>'4.1 Comptes 2020 natures'!AM153</f>
        <v>-5589.7700000000041</v>
      </c>
      <c r="C38" s="101">
        <f>'4.9 Comptes 2020 par habitant'!AM153</f>
        <v>-4.5042465753424636</v>
      </c>
    </row>
    <row r="39" spans="1:3" x14ac:dyDescent="0.25">
      <c r="A39" s="206" t="s">
        <v>29</v>
      </c>
      <c r="B39" s="101">
        <f>'4.1 Comptes 2020 natures'!AN153</f>
        <v>13711.05</v>
      </c>
      <c r="C39" s="101">
        <f>'4.9 Comptes 2020 par habitant'!AN153</f>
        <v>115.2189075630252</v>
      </c>
    </row>
    <row r="40" spans="1:3" x14ac:dyDescent="0.25">
      <c r="A40" s="206" t="s">
        <v>26</v>
      </c>
      <c r="B40" s="101">
        <f>'4.1 Comptes 2020 natures'!AO153</f>
        <v>341994.52</v>
      </c>
      <c r="C40" s="101">
        <f>'4.9 Comptes 2020 par habitant'!AO153</f>
        <v>286.18788284518831</v>
      </c>
    </row>
    <row r="41" spans="1:3" x14ac:dyDescent="0.25">
      <c r="A41" s="206" t="s">
        <v>48</v>
      </c>
      <c r="B41" s="101">
        <f>'4.1 Comptes 2020 natures'!AP153</f>
        <v>197653.74000000002</v>
      </c>
      <c r="C41" s="101">
        <f>'4.9 Comptes 2020 par habitant'!AP153</f>
        <v>298.12027149321273</v>
      </c>
    </row>
    <row r="42" spans="1:3" x14ac:dyDescent="0.25">
      <c r="A42" s="206" t="s">
        <v>44</v>
      </c>
      <c r="B42" s="101">
        <f>'4.1 Comptes 2020 natures'!AQ153</f>
        <v>23915.769999999997</v>
      </c>
      <c r="C42" s="101">
        <f>'4.9 Comptes 2020 par habitant'!AQ153</f>
        <v>37.078713178294571</v>
      </c>
    </row>
    <row r="43" spans="1:3" x14ac:dyDescent="0.25">
      <c r="A43" s="206" t="s">
        <v>37</v>
      </c>
      <c r="B43" s="101">
        <f>'4.1 Comptes 2020 natures'!AR153</f>
        <v>50671.79</v>
      </c>
      <c r="C43" s="101">
        <f>'4.9 Comptes 2020 par habitant'!AR153</f>
        <v>40.120182106096593</v>
      </c>
    </row>
    <row r="44" spans="1:3" x14ac:dyDescent="0.25">
      <c r="A44" s="206" t="s">
        <v>51</v>
      </c>
      <c r="B44" s="101">
        <f>'4.1 Comptes 2020 natures'!AS153</f>
        <v>52551.100000000006</v>
      </c>
      <c r="C44" s="101">
        <f>'4.9 Comptes 2020 par habitant'!AS153</f>
        <v>71.015000000000001</v>
      </c>
    </row>
    <row r="45" spans="1:3" x14ac:dyDescent="0.25">
      <c r="A45" s="206" t="s">
        <v>8</v>
      </c>
      <c r="B45" s="101">
        <f>'4.1 Comptes 2020 natures'!AT153</f>
        <v>35118.03</v>
      </c>
      <c r="C45" s="101">
        <f>'4.9 Comptes 2020 par habitant'!AT153</f>
        <v>34.161507782101168</v>
      </c>
    </row>
    <row r="46" spans="1:3" x14ac:dyDescent="0.25">
      <c r="A46" s="206" t="s">
        <v>24</v>
      </c>
      <c r="B46" s="101">
        <f>'4.1 Comptes 2020 natures'!AU153</f>
        <v>112815.42</v>
      </c>
      <c r="C46" s="101">
        <f>'4.9 Comptes 2020 par habitant'!AU153</f>
        <v>359.28477707006368</v>
      </c>
    </row>
    <row r="47" spans="1:3" x14ac:dyDescent="0.25">
      <c r="A47" s="206" t="s">
        <v>9</v>
      </c>
      <c r="B47" s="101">
        <f>'4.1 Comptes 2020 natures'!AV153</f>
        <v>-268507.58</v>
      </c>
      <c r="C47" s="101">
        <f>'4.9 Comptes 2020 par habitant'!AV153</f>
        <v>-111.87815833333333</v>
      </c>
    </row>
    <row r="48" spans="1:3" x14ac:dyDescent="0.25">
      <c r="A48" s="206" t="s">
        <v>62</v>
      </c>
      <c r="B48" s="101">
        <f>'4.1 Comptes 2020 natures'!AW153</f>
        <v>-9064.0300000000025</v>
      </c>
      <c r="C48" s="101">
        <f>'4.9 Comptes 2020 par habitant'!AW153</f>
        <v>-12.005337748344374</v>
      </c>
    </row>
    <row r="49" spans="1:3" x14ac:dyDescent="0.25">
      <c r="A49" s="206" t="s">
        <v>46</v>
      </c>
      <c r="B49" s="101">
        <f>'4.1 Comptes 2020 natures'!AX153</f>
        <v>29819.599999999999</v>
      </c>
      <c r="C49" s="101">
        <f>'4.9 Comptes 2020 par habitant'!AX153</f>
        <v>164.74917127071825</v>
      </c>
    </row>
    <row r="50" spans="1:3" x14ac:dyDescent="0.25">
      <c r="A50" s="206" t="s">
        <v>35</v>
      </c>
      <c r="B50" s="101">
        <f>'4.1 Comptes 2020 natures'!AY153</f>
        <v>73689.049999999988</v>
      </c>
      <c r="C50" s="101">
        <f>'4.9 Comptes 2020 par habitant'!AY153</f>
        <v>212.36037463976945</v>
      </c>
    </row>
    <row r="51" spans="1:3" x14ac:dyDescent="0.25">
      <c r="A51" s="206" t="s">
        <v>49</v>
      </c>
      <c r="B51" s="101">
        <f>'4.1 Comptes 2020 natures'!AZ153</f>
        <v>79042.83</v>
      </c>
      <c r="C51" s="101">
        <f>'4.9 Comptes 2020 par habitant'!AZ153</f>
        <v>46.770905325443792</v>
      </c>
    </row>
    <row r="52" spans="1:3" x14ac:dyDescent="0.25">
      <c r="A52" s="206" t="s">
        <v>47</v>
      </c>
      <c r="B52" s="101">
        <f>'4.1 Comptes 2020 natures'!BA153</f>
        <v>160878.04999999999</v>
      </c>
      <c r="C52" s="101">
        <f>'4.9 Comptes 2020 par habitant'!BA153</f>
        <v>415.70555555555558</v>
      </c>
    </row>
    <row r="53" spans="1:3" x14ac:dyDescent="0.25">
      <c r="A53" s="206" t="s">
        <v>58</v>
      </c>
      <c r="B53" s="101">
        <f>'4.1 Comptes 2020 natures'!BB153</f>
        <v>192186.95</v>
      </c>
      <c r="C53" s="101">
        <f>'4.9 Comptes 2020 par habitant'!BB153</f>
        <v>175.3530565693431</v>
      </c>
    </row>
    <row r="54" spans="1:3" x14ac:dyDescent="0.25">
      <c r="A54" s="206" t="s">
        <v>50</v>
      </c>
      <c r="B54" s="101">
        <f>'4.1 Comptes 2020 natures'!BC153</f>
        <v>-14911.230000000001</v>
      </c>
      <c r="C54" s="101">
        <f>'4.9 Comptes 2020 par habitant'!BC153</f>
        <v>-79.315053191489369</v>
      </c>
    </row>
    <row r="55" spans="1:3" x14ac:dyDescent="0.25">
      <c r="A55" s="206" t="s">
        <v>16</v>
      </c>
      <c r="B55" s="101">
        <f>'4.1 Comptes 2020 natures'!BD153</f>
        <v>1253727.51</v>
      </c>
      <c r="C55" s="101">
        <f>'4.9 Comptes 2020 par habitant'!BD153</f>
        <v>194.85973111594654</v>
      </c>
    </row>
    <row r="56" spans="1:3" x14ac:dyDescent="0.25">
      <c r="A56" s="206" t="s">
        <v>25</v>
      </c>
      <c r="B56" s="101">
        <f>'4.1 Comptes 2020 natures'!BE153</f>
        <v>49199.93</v>
      </c>
      <c r="C56" s="101">
        <f>'4.9 Comptes 2020 par habitant'!BE153</f>
        <v>87.857017857142864</v>
      </c>
    </row>
    <row r="57" spans="1:3" x14ac:dyDescent="0.25">
      <c r="A57" s="207" t="s">
        <v>65</v>
      </c>
      <c r="B57" s="101">
        <f>'4.1 Comptes 2020 natures'!BF153</f>
        <v>10804534.910000002</v>
      </c>
      <c r="C57" s="101">
        <f>'4.9 Comptes 2020 par habitant'!BF153</f>
        <v>6305.5353329471554</v>
      </c>
    </row>
    <row r="58" spans="1:3" x14ac:dyDescent="0.25">
      <c r="A58" s="207" t="s">
        <v>214</v>
      </c>
      <c r="B58" s="101">
        <f>'4.1 Comptes 2020 natures'!BG153</f>
        <v>3478485.71</v>
      </c>
      <c r="C58" s="101">
        <f>'4.9 Comptes 2020 par habitant'!BG153</f>
        <v>872.21820871604996</v>
      </c>
    </row>
    <row r="59" spans="1:3" x14ac:dyDescent="0.25">
      <c r="A59" s="207" t="s">
        <v>215</v>
      </c>
      <c r="B59" s="101">
        <f>'4.1 Comptes 2020 natures'!BH153</f>
        <v>4836251.0600000005</v>
      </c>
      <c r="C59" s="101">
        <f>'4.9 Comptes 2020 par habitant'!BH153</f>
        <v>3049.9784758108126</v>
      </c>
    </row>
    <row r="60" spans="1:3" x14ac:dyDescent="0.25">
      <c r="A60" s="207"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'5.1 Bilan'!F5</f>
        <v>6025500.6899999995</v>
      </c>
      <c r="D7" s="101">
        <f>'5.1 Bilan'!G5</f>
        <v>1369739.14</v>
      </c>
      <c r="E7" s="101">
        <f>'5.1 Bilan'!H5</f>
        <v>4309212.78</v>
      </c>
      <c r="F7" s="101">
        <f>'5.1 Bilan'!I5</f>
        <v>4657259.62</v>
      </c>
      <c r="G7" s="101">
        <f>'5.1 Bilan'!J5</f>
        <v>15173301.85</v>
      </c>
      <c r="H7" s="101">
        <f>'5.1 Bilan'!K5</f>
        <v>8929891.379999999</v>
      </c>
      <c r="I7" s="101">
        <f>'5.1 Bilan'!L5</f>
        <v>10459838.139999999</v>
      </c>
      <c r="J7" s="101">
        <f>'5.1 Bilan'!M5</f>
        <v>48329637.409999996</v>
      </c>
      <c r="K7" s="101">
        <f>'5.1 Bilan'!N5</f>
        <v>4231787.96</v>
      </c>
      <c r="L7" s="101">
        <f>'5.1 Bilan'!O5</f>
        <v>401366.44</v>
      </c>
      <c r="M7" s="101">
        <f>'5.1 Bilan'!P5</f>
        <v>19270794.450000003</v>
      </c>
      <c r="N7" s="101">
        <f>'5.1 Bilan'!Q5</f>
        <v>2306934.9900000002</v>
      </c>
      <c r="O7" s="101">
        <f>'5.1 Bilan'!R5</f>
        <v>340332.25000000006</v>
      </c>
      <c r="P7" s="101">
        <f>'5.1 Bilan'!S5</f>
        <v>1454184.04</v>
      </c>
      <c r="Q7" s="101">
        <f>'5.1 Bilan'!T5</f>
        <v>2240322.35</v>
      </c>
      <c r="R7" s="101">
        <f>'5.1 Bilan'!U5</f>
        <v>5578034.3599999994</v>
      </c>
      <c r="S7" s="101">
        <f>'5.1 Bilan'!V5</f>
        <v>797906.42</v>
      </c>
      <c r="T7" s="101">
        <f>'5.1 Bilan'!W5</f>
        <v>2606499.7699999996</v>
      </c>
      <c r="U7" s="101">
        <f>'5.1 Bilan'!X5</f>
        <v>5690503.7400000002</v>
      </c>
      <c r="V7" s="101">
        <f>'5.1 Bilan'!Y5</f>
        <v>1782334.11</v>
      </c>
      <c r="W7" s="101">
        <f>'5.1 Bilan'!Z5</f>
        <v>4607305.3099999996</v>
      </c>
      <c r="X7" s="101">
        <f>'5.1 Bilan'!AA5</f>
        <v>22682781.649999999</v>
      </c>
      <c r="Y7" s="101">
        <f>'5.1 Bilan'!AB5</f>
        <v>514539.83999999997</v>
      </c>
      <c r="Z7" s="101">
        <f>'5.1 Bilan'!AC5</f>
        <v>1718422.2500000002</v>
      </c>
      <c r="AA7" s="101">
        <f>'5.1 Bilan'!AD5</f>
        <v>3153746.6100000003</v>
      </c>
      <c r="AB7" s="101">
        <f>'5.1 Bilan'!AE5</f>
        <v>3204642.4699999997</v>
      </c>
      <c r="AC7" s="101">
        <f>'5.1 Bilan'!AF5</f>
        <v>2898436.0999999996</v>
      </c>
      <c r="AD7" s="101">
        <f>'5.1 Bilan'!AG5</f>
        <v>4936104.3499999996</v>
      </c>
      <c r="AE7" s="101">
        <f>'5.1 Bilan'!AH5</f>
        <v>9508703.8300000001</v>
      </c>
      <c r="AF7" s="101">
        <f>'5.1 Bilan'!AI5</f>
        <v>10854436.879999999</v>
      </c>
      <c r="AG7" s="101">
        <f>'5.1 Bilan'!AJ5</f>
        <v>1895624.56</v>
      </c>
      <c r="AH7" s="101">
        <f>'5.1 Bilan'!AK5</f>
        <v>2296499.59</v>
      </c>
      <c r="AI7" s="101">
        <f>'5.1 Bilan'!AL5</f>
        <v>5395628.6899999995</v>
      </c>
      <c r="AJ7" s="101">
        <f>'5.1 Bilan'!AM5</f>
        <v>5311232.7699999996</v>
      </c>
      <c r="AK7" s="101">
        <f>'5.1 Bilan'!AN5</f>
        <v>5192149.76</v>
      </c>
      <c r="AL7" s="101">
        <f>'5.1 Bilan'!AO5</f>
        <v>945916.81999999983</v>
      </c>
      <c r="AM7" s="101">
        <f>'5.1 Bilan'!AP5</f>
        <v>14951876.23</v>
      </c>
      <c r="AN7" s="101">
        <f>'5.1 Bilan'!AQ5</f>
        <v>4059251.8099999996</v>
      </c>
      <c r="AO7" s="101">
        <f>'5.1 Bilan'!AR5</f>
        <v>3653483.9</v>
      </c>
      <c r="AP7" s="101">
        <f>'5.1 Bilan'!AS5</f>
        <v>12084593.449999999</v>
      </c>
      <c r="AQ7" s="101">
        <f>'5.1 Bilan'!AT5</f>
        <v>2583134</v>
      </c>
      <c r="AR7" s="101">
        <f>'5.1 Bilan'!AU5</f>
        <v>4268060.6800000006</v>
      </c>
      <c r="AS7" s="101">
        <f>'5.1 Bilan'!AV5</f>
        <v>3818782.6800000006</v>
      </c>
      <c r="AT7" s="101">
        <f>'5.1 Bilan'!AW5</f>
        <v>6505495.3100000005</v>
      </c>
      <c r="AU7" s="101">
        <f>'5.1 Bilan'!AX5</f>
        <v>3077294.9799999995</v>
      </c>
      <c r="AV7" s="101">
        <f>'5.1 Bilan'!AY5</f>
        <v>678851.45</v>
      </c>
      <c r="AW7" s="101">
        <f>'5.1 Bilan'!AZ5</f>
        <v>2359237.4</v>
      </c>
      <c r="AX7" s="101">
        <f>'5.1 Bilan'!BA5</f>
        <v>4869007.3099999996</v>
      </c>
      <c r="AY7" s="101">
        <f>'5.1 Bilan'!BB5</f>
        <v>3035892.37</v>
      </c>
      <c r="AZ7" s="101">
        <f>'5.1 Bilan'!BC5</f>
        <v>4691561.72</v>
      </c>
      <c r="BA7" s="101">
        <f>'5.1 Bilan'!BD5</f>
        <v>866228.97</v>
      </c>
      <c r="BB7" s="101">
        <f>'5.1 Bilan'!BE5</f>
        <v>30853239.349999994</v>
      </c>
      <c r="BC7" s="101">
        <f>'5.1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'5.1 Bilan'!F121</f>
        <v>9136260.5199999996</v>
      </c>
      <c r="D9" s="101">
        <f>'5.1 Bilan'!G121</f>
        <v>2523210.25</v>
      </c>
      <c r="E9" s="101">
        <f>'5.1 Bilan'!H121</f>
        <v>6461558.5199999996</v>
      </c>
      <c r="F9" s="101">
        <f>'5.1 Bilan'!I121</f>
        <v>4936358.18</v>
      </c>
      <c r="G9" s="101">
        <f>'5.1 Bilan'!J121</f>
        <v>26343468.57</v>
      </c>
      <c r="H9" s="101">
        <f>'5.1 Bilan'!K121</f>
        <v>25837679.66</v>
      </c>
      <c r="I9" s="101">
        <f>'5.1 Bilan'!L121</f>
        <v>11484688.109999999</v>
      </c>
      <c r="J9" s="101">
        <f>'5.1 Bilan'!M121</f>
        <v>139191397.21999997</v>
      </c>
      <c r="K9" s="101">
        <f>'5.1 Bilan'!N121</f>
        <v>7307071.8300000001</v>
      </c>
      <c r="L9" s="101">
        <f>'5.1 Bilan'!O121</f>
        <v>862038.84000000008</v>
      </c>
      <c r="M9" s="155">
        <f>'5.1 Bilan'!P121</f>
        <v>46214165.719999999</v>
      </c>
      <c r="N9" s="101">
        <f>'5.1 Bilan'!Q121</f>
        <v>3674228.8800000004</v>
      </c>
      <c r="O9" s="101">
        <f>'5.1 Bilan'!R121</f>
        <v>585366.75</v>
      </c>
      <c r="P9" s="101">
        <f>'5.1 Bilan'!S121</f>
        <v>3329882.66</v>
      </c>
      <c r="Q9" s="101">
        <f>'5.1 Bilan'!T121</f>
        <v>4328768.28</v>
      </c>
      <c r="R9" s="101">
        <f>'5.1 Bilan'!U121</f>
        <v>5783474.6900000004</v>
      </c>
      <c r="S9" s="101">
        <f>'5.1 Bilan'!V121</f>
        <v>1064577.6300000001</v>
      </c>
      <c r="T9" s="101">
        <f>'5.1 Bilan'!W121</f>
        <v>4351613.58</v>
      </c>
      <c r="U9" s="101">
        <f>'5.1 Bilan'!X121</f>
        <v>16521169.08</v>
      </c>
      <c r="V9" s="101">
        <f>'5.1 Bilan'!Y121</f>
        <v>701823.61</v>
      </c>
      <c r="W9" s="101">
        <f>'5.1 Bilan'!Z121</f>
        <v>12393883.23</v>
      </c>
      <c r="X9" s="101">
        <f>'5.1 Bilan'!AA121</f>
        <v>13352559.84</v>
      </c>
      <c r="Y9" s="101">
        <f>'5.1 Bilan'!AB121</f>
        <v>650530.85</v>
      </c>
      <c r="Z9" s="101">
        <f>'5.1 Bilan'!AC121</f>
        <v>1324155.57</v>
      </c>
      <c r="AA9" s="101">
        <f>'5.1 Bilan'!AD121</f>
        <v>3949290.9899999998</v>
      </c>
      <c r="AB9" s="101">
        <f>'5.1 Bilan'!AE121</f>
        <v>8603148.8800000008</v>
      </c>
      <c r="AC9" s="101">
        <f>'5.1 Bilan'!AF121</f>
        <v>4184157.13</v>
      </c>
      <c r="AD9" s="101">
        <f>'5.1 Bilan'!AG121</f>
        <v>1835141.4</v>
      </c>
      <c r="AE9" s="101">
        <f>'5.1 Bilan'!AH121</f>
        <v>8867147.3900000006</v>
      </c>
      <c r="AF9" s="101">
        <f>'5.1 Bilan'!AI121</f>
        <v>21041584.219999999</v>
      </c>
      <c r="AG9" s="101">
        <f>'5.1 Bilan'!AJ121</f>
        <v>1776842.86</v>
      </c>
      <c r="AH9" s="101">
        <f>'5.1 Bilan'!AK121</f>
        <v>1181704</v>
      </c>
      <c r="AI9" s="101">
        <f>'5.1 Bilan'!AL121</f>
        <v>17629904.52</v>
      </c>
      <c r="AJ9" s="101">
        <f>'5.1 Bilan'!AM121</f>
        <v>10327486.98</v>
      </c>
      <c r="AK9" s="101">
        <f>'5.1 Bilan'!AN121</f>
        <v>11723916.060000002</v>
      </c>
      <c r="AL9" s="101">
        <f>'5.1 Bilan'!AO121</f>
        <v>2118226.58</v>
      </c>
      <c r="AM9" s="101">
        <f>'5.1 Bilan'!AP121</f>
        <v>11108782.970000001</v>
      </c>
      <c r="AN9" s="101">
        <f>'5.1 Bilan'!AQ121</f>
        <v>5278048.49</v>
      </c>
      <c r="AO9" s="101">
        <f>'5.1 Bilan'!AR121</f>
        <v>4581585.83</v>
      </c>
      <c r="AP9" s="101">
        <f>'5.1 Bilan'!AS121</f>
        <v>10511435.380000001</v>
      </c>
      <c r="AQ9" s="101">
        <f>'5.1 Bilan'!AT121</f>
        <v>5932741.29</v>
      </c>
      <c r="AR9" s="101">
        <f>'5.1 Bilan'!AU121</f>
        <v>8541645.5500000007</v>
      </c>
      <c r="AS9" s="101">
        <f>'5.1 Bilan'!AV121</f>
        <v>2009618.6500000001</v>
      </c>
      <c r="AT9" s="101">
        <f>'5.1 Bilan'!AW121</f>
        <v>14597972.57</v>
      </c>
      <c r="AU9" s="101">
        <f>'5.1 Bilan'!AX121</f>
        <v>6019600.25</v>
      </c>
      <c r="AV9" s="101">
        <f>'5.1 Bilan'!AY121</f>
        <v>982153.85</v>
      </c>
      <c r="AW9" s="101">
        <f>'5.1 Bilan'!AZ121</f>
        <v>2330422.44</v>
      </c>
      <c r="AX9" s="101">
        <f>'5.1 Bilan'!BA121</f>
        <v>21035834.379999999</v>
      </c>
      <c r="AY9" s="101">
        <f>'5.1 Bilan'!BB121</f>
        <v>1750180.59</v>
      </c>
      <c r="AZ9" s="101">
        <f>'5.1 Bilan'!BC121</f>
        <v>10648246.140000001</v>
      </c>
      <c r="BA9" s="101">
        <f>'5.1 Bilan'!BD121</f>
        <v>295678.96000000002</v>
      </c>
      <c r="BB9" s="101">
        <f>'5.1 Bilan'!BE121</f>
        <v>69383333.870000005</v>
      </c>
      <c r="BC9" s="101">
        <f>'5.1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'5.1 Bilan'!F122</f>
        <v>3771.65</v>
      </c>
      <c r="D11" s="101">
        <f>'5.1 Bilan'!G122</f>
        <v>44599</v>
      </c>
      <c r="E11" s="101">
        <f>'5.1 Bilan'!H122</f>
        <v>112759.55</v>
      </c>
      <c r="F11" s="101">
        <f>'5.1 Bilan'!I122</f>
        <v>235227.35</v>
      </c>
      <c r="G11" s="101">
        <f>'5.1 Bilan'!J122</f>
        <v>600201.06999999995</v>
      </c>
      <c r="H11" s="101">
        <f>'5.1 Bilan'!K122</f>
        <v>1247071.52</v>
      </c>
      <c r="I11" s="101">
        <f>'5.1 Bilan'!L122</f>
        <v>201552.2</v>
      </c>
      <c r="J11" s="101">
        <f>'5.1 Bilan'!M122</f>
        <v>9604614.6600000001</v>
      </c>
      <c r="K11" s="101">
        <f>'5.1 Bilan'!N122</f>
        <v>409615.93</v>
      </c>
      <c r="L11" s="101">
        <f>'5.1 Bilan'!O122</f>
        <v>0</v>
      </c>
      <c r="M11" s="101">
        <f>'5.1 Bilan'!P122</f>
        <v>1453277.2199999997</v>
      </c>
      <c r="N11" s="101">
        <f>'5.1 Bilan'!Q122</f>
        <v>97190.07</v>
      </c>
      <c r="O11" s="101">
        <f>'5.1 Bilan'!R122</f>
        <v>25537.75</v>
      </c>
      <c r="P11" s="101">
        <f>'5.1 Bilan'!S122</f>
        <v>266808.40999999997</v>
      </c>
      <c r="Q11" s="101">
        <f>'5.1 Bilan'!T122</f>
        <v>563608.91</v>
      </c>
      <c r="R11" s="101">
        <f>'5.1 Bilan'!U122</f>
        <v>394276.37</v>
      </c>
      <c r="S11" s="101">
        <f>'5.1 Bilan'!V122</f>
        <v>213190.62</v>
      </c>
      <c r="T11" s="101">
        <f>'5.1 Bilan'!W122</f>
        <v>221716.44999999998</v>
      </c>
      <c r="U11" s="101">
        <f>'5.1 Bilan'!X122</f>
        <v>2071297.1199999999</v>
      </c>
      <c r="V11" s="101">
        <f>'5.1 Bilan'!Y122</f>
        <v>0</v>
      </c>
      <c r="W11" s="101">
        <f>'5.1 Bilan'!Z122</f>
        <v>8866789.9800000004</v>
      </c>
      <c r="X11" s="101">
        <f>'5.1 Bilan'!AA122</f>
        <v>3389024.96</v>
      </c>
      <c r="Y11" s="101">
        <f>'5.1 Bilan'!AB122</f>
        <v>33957.25</v>
      </c>
      <c r="Z11" s="101">
        <f>'5.1 Bilan'!AC122</f>
        <v>31444.129999999997</v>
      </c>
      <c r="AA11" s="101">
        <f>'5.1 Bilan'!AD122</f>
        <v>287157.11</v>
      </c>
      <c r="AB11" s="101">
        <f>'5.1 Bilan'!AE122</f>
        <v>667667.15</v>
      </c>
      <c r="AC11" s="101">
        <f>'5.1 Bilan'!AF122</f>
        <v>0</v>
      </c>
      <c r="AD11" s="101">
        <f>'5.1 Bilan'!AG122</f>
        <v>163650.84999999998</v>
      </c>
      <c r="AE11" s="101">
        <f>'5.1 Bilan'!AH122</f>
        <v>1264494.6400000001</v>
      </c>
      <c r="AF11" s="101">
        <f>'5.1 Bilan'!AI122</f>
        <v>283596.94999999995</v>
      </c>
      <c r="AG11" s="101">
        <f>'5.1 Bilan'!AJ122</f>
        <v>613599.80000000005</v>
      </c>
      <c r="AH11" s="101">
        <f>'5.1 Bilan'!AK122</f>
        <v>43246.05</v>
      </c>
      <c r="AI11" s="101">
        <f>'5.1 Bilan'!AL122</f>
        <v>341959.9</v>
      </c>
      <c r="AJ11" s="101">
        <f>'5.1 Bilan'!AM122</f>
        <v>16414.79</v>
      </c>
      <c r="AK11" s="101">
        <f>'5.1 Bilan'!AN122</f>
        <v>228127.4</v>
      </c>
      <c r="AL11" s="101">
        <f>'5.1 Bilan'!AO122</f>
        <v>30726.94</v>
      </c>
      <c r="AM11" s="101">
        <f>'5.1 Bilan'!AP122</f>
        <v>1175364.1000000001</v>
      </c>
      <c r="AN11" s="101">
        <f>'5.1 Bilan'!AQ122</f>
        <v>422314.19</v>
      </c>
      <c r="AO11" s="101">
        <f>'5.1 Bilan'!AR122</f>
        <v>135767.88</v>
      </c>
      <c r="AP11" s="101">
        <f>'5.1 Bilan'!AS122</f>
        <v>322954.8</v>
      </c>
      <c r="AQ11" s="101">
        <f>'5.1 Bilan'!AT122</f>
        <v>362403.69</v>
      </c>
      <c r="AR11" s="101">
        <f>'5.1 Bilan'!AU122</f>
        <v>315891.65999999997</v>
      </c>
      <c r="AS11" s="101">
        <f>'5.1 Bilan'!AV122</f>
        <v>47182.1</v>
      </c>
      <c r="AT11" s="101">
        <f>'5.1 Bilan'!AW122</f>
        <v>526840.46</v>
      </c>
      <c r="AU11" s="101">
        <f>'5.1 Bilan'!AX122</f>
        <v>125306.3</v>
      </c>
      <c r="AV11" s="101">
        <f>'5.1 Bilan'!AY122</f>
        <v>18759.349999999999</v>
      </c>
      <c r="AW11" s="101">
        <f>'5.1 Bilan'!AZ122</f>
        <v>158646.04999999999</v>
      </c>
      <c r="AX11" s="101">
        <f>'5.1 Bilan'!BA122</f>
        <v>1392297.75</v>
      </c>
      <c r="AY11" s="101">
        <f>'5.1 Bilan'!BB122</f>
        <v>34063.440000000002</v>
      </c>
      <c r="AZ11" s="101">
        <f>'5.1 Bilan'!BC122</f>
        <v>1010318.05</v>
      </c>
      <c r="BA11" s="101">
        <f>'5.1 Bilan'!BD122</f>
        <v>57543.880000000005</v>
      </c>
      <c r="BB11" s="101">
        <f>'5.1 Bilan'!BE122</f>
        <v>2286095.0300000003</v>
      </c>
      <c r="BC11" s="101">
        <f>'5.1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'5.1 Bilan'!F132</f>
        <v>3909040.7600000002</v>
      </c>
      <c r="D13" s="101">
        <f>'5.1 Bilan'!G132</f>
        <v>112700</v>
      </c>
      <c r="E13" s="101">
        <f>'5.1 Bilan'!H132</f>
        <v>180090.75</v>
      </c>
      <c r="F13" s="101">
        <f>'5.1 Bilan'!I132</f>
        <v>352998.32999999996</v>
      </c>
      <c r="G13" s="101">
        <f>'5.1 Bilan'!J132</f>
        <v>4511771.7</v>
      </c>
      <c r="H13" s="101">
        <f>'5.1 Bilan'!K132</f>
        <v>5916914</v>
      </c>
      <c r="I13" s="101">
        <f>'5.1 Bilan'!L132</f>
        <v>0</v>
      </c>
      <c r="J13" s="101">
        <f>'5.1 Bilan'!M132</f>
        <v>49004578.5</v>
      </c>
      <c r="K13" s="101">
        <f>'5.1 Bilan'!N132</f>
        <v>267000</v>
      </c>
      <c r="L13" s="101">
        <f>'5.1 Bilan'!O132</f>
        <v>0</v>
      </c>
      <c r="M13" s="101">
        <f>'5.1 Bilan'!P132</f>
        <v>12857311.639999999</v>
      </c>
      <c r="N13" s="101">
        <f>'5.1 Bilan'!Q132</f>
        <v>1264473.8700000001</v>
      </c>
      <c r="O13" s="101">
        <f>'5.1 Bilan'!R132</f>
        <v>125256.5</v>
      </c>
      <c r="P13" s="101">
        <f>'5.1 Bilan'!S132</f>
        <v>0</v>
      </c>
      <c r="Q13" s="101">
        <f>'5.1 Bilan'!T132</f>
        <v>2512156.62</v>
      </c>
      <c r="R13" s="101">
        <f>'5.1 Bilan'!U132</f>
        <v>0</v>
      </c>
      <c r="S13" s="101">
        <f>'5.1 Bilan'!V132</f>
        <v>160308.08000000002</v>
      </c>
      <c r="T13" s="101">
        <f>'5.1 Bilan'!W132</f>
        <v>1963055.37</v>
      </c>
      <c r="U13" s="101">
        <f>'5.1 Bilan'!X132</f>
        <v>-76048.84</v>
      </c>
      <c r="V13" s="101">
        <f>'5.1 Bilan'!Y132</f>
        <v>63507.4</v>
      </c>
      <c r="W13" s="101">
        <f>'5.1 Bilan'!Z132</f>
        <v>0</v>
      </c>
      <c r="X13" s="101">
        <f>'5.1 Bilan'!AA132</f>
        <v>0</v>
      </c>
      <c r="Y13" s="101">
        <f>'5.1 Bilan'!AB132</f>
        <v>0</v>
      </c>
      <c r="Z13" s="101">
        <f>'5.1 Bilan'!AC132</f>
        <v>0</v>
      </c>
      <c r="AA13" s="101">
        <f>'5.1 Bilan'!AD132</f>
        <v>795091.5</v>
      </c>
      <c r="AB13" s="101">
        <f>'5.1 Bilan'!AE132</f>
        <v>87760.01</v>
      </c>
      <c r="AC13" s="101">
        <f>'5.1 Bilan'!AF132</f>
        <v>195428.94</v>
      </c>
      <c r="AD13" s="101">
        <f>'5.1 Bilan'!AG132</f>
        <v>484090.64999999997</v>
      </c>
      <c r="AE13" s="101">
        <f>'5.1 Bilan'!AH132</f>
        <v>1436720.75</v>
      </c>
      <c r="AF13" s="101">
        <f>'5.1 Bilan'!AI132</f>
        <v>7465503.8499999996</v>
      </c>
      <c r="AG13" s="101">
        <f>'5.1 Bilan'!AJ132</f>
        <v>64804.639999999999</v>
      </c>
      <c r="AH13" s="101">
        <f>'5.1 Bilan'!AK132</f>
        <v>148300</v>
      </c>
      <c r="AI13" s="101">
        <f>'5.1 Bilan'!AL132</f>
        <v>0</v>
      </c>
      <c r="AJ13" s="101">
        <f>'5.1 Bilan'!AM132</f>
        <v>1134925.8399999999</v>
      </c>
      <c r="AK13" s="101">
        <f>'5.1 Bilan'!AN132</f>
        <v>438479.73</v>
      </c>
      <c r="AL13" s="101">
        <f>'5.1 Bilan'!AO132</f>
        <v>0</v>
      </c>
      <c r="AM13" s="101">
        <f>'5.1 Bilan'!AP132</f>
        <v>1000000</v>
      </c>
      <c r="AN13" s="101">
        <f>'5.1 Bilan'!AQ132</f>
        <v>50050</v>
      </c>
      <c r="AO13" s="101">
        <f>'5.1 Bilan'!AR132</f>
        <v>334240</v>
      </c>
      <c r="AP13" s="101">
        <f>'5.1 Bilan'!AS132</f>
        <v>524000</v>
      </c>
      <c r="AQ13" s="101">
        <f>'5.1 Bilan'!AT132</f>
        <v>333359.06</v>
      </c>
      <c r="AR13" s="101">
        <f>'5.1 Bilan'!AU132</f>
        <v>276059</v>
      </c>
      <c r="AS13" s="101">
        <f>'5.1 Bilan'!AV132</f>
        <v>19300</v>
      </c>
      <c r="AT13" s="101">
        <f>'5.1 Bilan'!AW132</f>
        <v>0</v>
      </c>
      <c r="AU13" s="101">
        <f>'5.1 Bilan'!AX132</f>
        <v>1227600</v>
      </c>
      <c r="AV13" s="101">
        <f>'5.1 Bilan'!AY132</f>
        <v>0</v>
      </c>
      <c r="AW13" s="101">
        <f>'5.1 Bilan'!AZ132</f>
        <v>235243.64</v>
      </c>
      <c r="AX13" s="101">
        <f>'5.1 Bilan'!BA132</f>
        <v>530829.82999999996</v>
      </c>
      <c r="AY13" s="101">
        <f>'5.1 Bilan'!BB132</f>
        <v>772673.41</v>
      </c>
      <c r="AZ13" s="101">
        <f>'5.1 Bilan'!BC132</f>
        <v>988442.09</v>
      </c>
      <c r="BA13" s="101">
        <f>'5.1 Bilan'!BD132</f>
        <v>0</v>
      </c>
      <c r="BB13" s="101">
        <f>'5.1 Bilan'!BE132</f>
        <v>10110840.08</v>
      </c>
      <c r="BC13" s="101">
        <f>'5.1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'5.1 Bilan'!F164</f>
        <v>4874949.96</v>
      </c>
      <c r="D15" s="101">
        <f>'5.1 Bilan'!G164</f>
        <v>2330502.85</v>
      </c>
      <c r="E15" s="101">
        <f>'5.1 Bilan'!H164</f>
        <v>5359040</v>
      </c>
      <c r="F15" s="101">
        <f>'5.1 Bilan'!I164</f>
        <v>3992448.21</v>
      </c>
      <c r="G15" s="101">
        <f>'5.1 Bilan'!J164</f>
        <v>20219956.25</v>
      </c>
      <c r="H15" s="101">
        <f>'5.1 Bilan'!K164</f>
        <v>16975600</v>
      </c>
      <c r="I15" s="101">
        <f>'5.1 Bilan'!L164</f>
        <v>10391906.689999999</v>
      </c>
      <c r="J15" s="101">
        <f>'5.1 Bilan'!M164</f>
        <v>74043576.549999997</v>
      </c>
      <c r="K15" s="101">
        <f>'5.1 Bilan'!N164</f>
        <v>6416829.75</v>
      </c>
      <c r="L15" s="101">
        <f>'5.1 Bilan'!O164</f>
        <v>825716.9</v>
      </c>
      <c r="M15" s="101">
        <f>'5.1 Bilan'!P164</f>
        <v>30426335.699999999</v>
      </c>
      <c r="N15" s="101">
        <f>'5.1 Bilan'!Q164</f>
        <v>1797463.35</v>
      </c>
      <c r="O15" s="101">
        <f>'5.1 Bilan'!R164</f>
        <v>385600</v>
      </c>
      <c r="P15" s="101">
        <f>'5.1 Bilan'!S164</f>
        <v>3046722.25</v>
      </c>
      <c r="Q15" s="101">
        <f>'5.1 Bilan'!T164</f>
        <v>1129011</v>
      </c>
      <c r="R15" s="101">
        <f>'5.1 Bilan'!U164</f>
        <v>5103900</v>
      </c>
      <c r="S15" s="101">
        <f>'5.1 Bilan'!V164</f>
        <v>564750</v>
      </c>
      <c r="T15" s="101">
        <f>'5.1 Bilan'!W164</f>
        <v>1959468.1</v>
      </c>
      <c r="U15" s="101">
        <f>'5.1 Bilan'!X164</f>
        <v>13434310</v>
      </c>
      <c r="V15" s="101">
        <f>'5.1 Bilan'!Y164</f>
        <v>504064</v>
      </c>
      <c r="W15" s="101">
        <f>'5.1 Bilan'!Z164</f>
        <v>3210200</v>
      </c>
      <c r="X15" s="101">
        <f>'5.1 Bilan'!AA164</f>
        <v>4729200</v>
      </c>
      <c r="Y15" s="101">
        <f>'5.1 Bilan'!AB164</f>
        <v>610190</v>
      </c>
      <c r="Z15" s="101">
        <f>'5.1 Bilan'!AC164</f>
        <v>1200000</v>
      </c>
      <c r="AA15" s="101">
        <f>'5.1 Bilan'!AD164</f>
        <v>2672245</v>
      </c>
      <c r="AB15" s="101">
        <f>'5.1 Bilan'!AE164</f>
        <v>7824482.2800000003</v>
      </c>
      <c r="AC15" s="101">
        <f>'5.1 Bilan'!AF164</f>
        <v>3642000</v>
      </c>
      <c r="AD15" s="101">
        <f>'5.1 Bilan'!AG164</f>
        <v>515000</v>
      </c>
      <c r="AE15" s="101">
        <f>'5.1 Bilan'!AH164</f>
        <v>5331400</v>
      </c>
      <c r="AF15" s="101">
        <f>'5.1 Bilan'!AI164</f>
        <v>11523397.299999999</v>
      </c>
      <c r="AG15" s="101">
        <f>'5.1 Bilan'!AJ164</f>
        <v>912417.62</v>
      </c>
      <c r="AH15" s="101">
        <f>'5.1 Bilan'!AK164</f>
        <v>971910</v>
      </c>
      <c r="AI15" s="101">
        <f>'5.1 Bilan'!AL164</f>
        <v>17252944.620000001</v>
      </c>
      <c r="AJ15" s="101">
        <f>'5.1 Bilan'!AM164</f>
        <v>8541150</v>
      </c>
      <c r="AK15" s="101">
        <f>'5.1 Bilan'!AN164</f>
        <v>10805793.380000001</v>
      </c>
      <c r="AL15" s="101">
        <f>'5.1 Bilan'!AO164</f>
        <v>1600000</v>
      </c>
      <c r="AM15" s="101">
        <f>'5.1 Bilan'!AP164</f>
        <v>8720525</v>
      </c>
      <c r="AN15" s="101">
        <f>'5.1 Bilan'!AQ164</f>
        <v>4736229.05</v>
      </c>
      <c r="AO15" s="101">
        <f>'5.1 Bilan'!AR164</f>
        <v>3968985</v>
      </c>
      <c r="AP15" s="101">
        <f>'5.1 Bilan'!AS164</f>
        <v>9226404.7300000004</v>
      </c>
      <c r="AQ15" s="101">
        <f>'5.1 Bilan'!AT164</f>
        <v>5073767.0999999996</v>
      </c>
      <c r="AR15" s="101">
        <f>'5.1 Bilan'!AU164</f>
        <v>7532739.1200000001</v>
      </c>
      <c r="AS15" s="101">
        <f>'5.1 Bilan'!AV164</f>
        <v>1825965</v>
      </c>
      <c r="AT15" s="101">
        <f>'5.1 Bilan'!AW164</f>
        <v>13357775</v>
      </c>
      <c r="AU15" s="101">
        <f>'5.1 Bilan'!AX164</f>
        <v>4368892</v>
      </c>
      <c r="AV15" s="101">
        <f>'5.1 Bilan'!AY164</f>
        <v>676480</v>
      </c>
      <c r="AW15" s="101">
        <f>'5.1 Bilan'!AZ164</f>
        <v>1825900</v>
      </c>
      <c r="AX15" s="101">
        <f>'5.1 Bilan'!BA164</f>
        <v>18661404.399999999</v>
      </c>
      <c r="AY15" s="101">
        <f>'5.1 Bilan'!BB164</f>
        <v>871280</v>
      </c>
      <c r="AZ15" s="101">
        <f>'5.1 Bilan'!BC164</f>
        <v>8226220</v>
      </c>
      <c r="BA15" s="101">
        <f>'5.1 Bilan'!BD164</f>
        <v>148745.70000000001</v>
      </c>
      <c r="BB15" s="101">
        <f>'5.1 Bilan'!BE164</f>
        <v>54697562</v>
      </c>
      <c r="BC15" s="101">
        <f>'5.1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'5.1 Bilan'!F139</f>
        <v>0</v>
      </c>
      <c r="D17" s="101">
        <f>'5.1 Bilan'!G139</f>
        <v>0</v>
      </c>
      <c r="E17" s="101">
        <f>'5.1 Bilan'!H139</f>
        <v>0</v>
      </c>
      <c r="F17" s="101">
        <f>'5.1 Bilan'!I139</f>
        <v>0</v>
      </c>
      <c r="G17" s="101">
        <f>'5.1 Bilan'!J139</f>
        <v>0</v>
      </c>
      <c r="H17" s="101">
        <f>'5.1 Bilan'!K139</f>
        <v>0</v>
      </c>
      <c r="I17" s="101">
        <f>'5.1 Bilan'!L139</f>
        <v>0</v>
      </c>
      <c r="J17" s="101">
        <f>'5.1 Bilan'!M139</f>
        <v>0</v>
      </c>
      <c r="K17" s="101">
        <f>'5.1 Bilan'!N139</f>
        <v>0</v>
      </c>
      <c r="L17" s="101">
        <f>'5.1 Bilan'!O139</f>
        <v>0</v>
      </c>
      <c r="M17" s="101">
        <f>'5.1 Bilan'!P139</f>
        <v>0</v>
      </c>
      <c r="N17" s="101">
        <f>'5.1 Bilan'!Q139</f>
        <v>0</v>
      </c>
      <c r="O17" s="101">
        <f>'5.1 Bilan'!R139</f>
        <v>0</v>
      </c>
      <c r="P17" s="101">
        <f>'5.1 Bilan'!S139</f>
        <v>0</v>
      </c>
      <c r="Q17" s="101">
        <f>'5.1 Bilan'!T139</f>
        <v>0</v>
      </c>
      <c r="R17" s="101">
        <f>'5.1 Bilan'!U139</f>
        <v>0</v>
      </c>
      <c r="S17" s="101">
        <f>'5.1 Bilan'!V139</f>
        <v>0</v>
      </c>
      <c r="T17" s="101">
        <f>'5.1 Bilan'!W139</f>
        <v>0</v>
      </c>
      <c r="U17" s="101">
        <f>'5.1 Bilan'!X139</f>
        <v>0</v>
      </c>
      <c r="V17" s="101">
        <f>'5.1 Bilan'!Y139</f>
        <v>0</v>
      </c>
      <c r="W17" s="101">
        <f>'5.1 Bilan'!Z139</f>
        <v>0</v>
      </c>
      <c r="X17" s="101">
        <f>'5.1 Bilan'!AA139</f>
        <v>0</v>
      </c>
      <c r="Y17" s="101">
        <f>'5.1 Bilan'!AB139</f>
        <v>0</v>
      </c>
      <c r="Z17" s="101">
        <f>'5.1 Bilan'!AC139</f>
        <v>0</v>
      </c>
      <c r="AA17" s="101">
        <f>'5.1 Bilan'!AD139</f>
        <v>0</v>
      </c>
      <c r="AB17" s="101">
        <f>'5.1 Bilan'!AE139</f>
        <v>0</v>
      </c>
      <c r="AC17" s="101">
        <f>'5.1 Bilan'!AF139</f>
        <v>0</v>
      </c>
      <c r="AD17" s="101">
        <f>'5.1 Bilan'!AG139</f>
        <v>0</v>
      </c>
      <c r="AE17" s="101">
        <f>'5.1 Bilan'!AH139</f>
        <v>0</v>
      </c>
      <c r="AF17" s="101">
        <f>'5.1 Bilan'!AI139</f>
        <v>0</v>
      </c>
      <c r="AG17" s="101">
        <f>'5.1 Bilan'!AJ139</f>
        <v>0</v>
      </c>
      <c r="AH17" s="101">
        <f>'5.1 Bilan'!AK139</f>
        <v>0</v>
      </c>
      <c r="AI17" s="101">
        <f>'5.1 Bilan'!AL139</f>
        <v>0</v>
      </c>
      <c r="AJ17" s="101">
        <f>'5.1 Bilan'!AM139</f>
        <v>0</v>
      </c>
      <c r="AK17" s="101">
        <f>'5.1 Bilan'!AN139</f>
        <v>0</v>
      </c>
      <c r="AL17" s="101">
        <f>'5.1 Bilan'!AO139</f>
        <v>0</v>
      </c>
      <c r="AM17" s="101">
        <f>'5.1 Bilan'!AP139</f>
        <v>0</v>
      </c>
      <c r="AN17" s="101">
        <f>'5.1 Bilan'!AQ139</f>
        <v>0</v>
      </c>
      <c r="AO17" s="101">
        <f>'5.1 Bilan'!AR139</f>
        <v>0</v>
      </c>
      <c r="AP17" s="101">
        <f>'5.1 Bilan'!AS139</f>
        <v>0</v>
      </c>
      <c r="AQ17" s="101">
        <f>'5.1 Bilan'!AT139</f>
        <v>0</v>
      </c>
      <c r="AR17" s="101">
        <f>'5.1 Bilan'!AU139</f>
        <v>0</v>
      </c>
      <c r="AS17" s="101">
        <f>'5.1 Bilan'!AV139</f>
        <v>0</v>
      </c>
      <c r="AT17" s="101">
        <f>'5.1 Bilan'!AW139</f>
        <v>0</v>
      </c>
      <c r="AU17" s="101">
        <f>'5.1 Bilan'!AX139</f>
        <v>0</v>
      </c>
      <c r="AV17" s="101">
        <f>'5.1 Bilan'!AY139</f>
        <v>0</v>
      </c>
      <c r="AW17" s="101">
        <f>'5.1 Bilan'!AZ139</f>
        <v>0</v>
      </c>
      <c r="AX17" s="101">
        <f>'5.1 Bilan'!BA139</f>
        <v>0</v>
      </c>
      <c r="AY17" s="101">
        <f>'5.1 Bilan'!BB139</f>
        <v>0</v>
      </c>
      <c r="AZ17" s="101">
        <f>'5.1 Bilan'!BC139</f>
        <v>0</v>
      </c>
      <c r="BA17" s="101">
        <f>'5.1 Bilan'!BD139</f>
        <v>0</v>
      </c>
      <c r="BB17" s="101">
        <f>'5.1 Bilan'!BE139</f>
        <v>0</v>
      </c>
      <c r="BC17" s="101">
        <f>'5.1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SUM(C21:BC21)</f>
        <v>396406.14147839695</v>
      </c>
      <c r="BE21" s="174">
        <f t="shared" si="0"/>
        <v>144861.82476393069</v>
      </c>
      <c r="BF21" s="174">
        <f t="shared" si="1"/>
        <v>88332.693126817394</v>
      </c>
      <c r="BG21" s="174">
        <f t="shared" si="2"/>
        <v>163211.62358764902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5">D9-D7</f>
        <v>1153471.1100000001</v>
      </c>
      <c r="E23" s="181">
        <f t="shared" si="5"/>
        <v>2152345.7399999993</v>
      </c>
      <c r="F23" s="181">
        <f t="shared" si="5"/>
        <v>279098.55999999959</v>
      </c>
      <c r="G23" s="181">
        <f t="shared" si="5"/>
        <v>11170166.720000001</v>
      </c>
      <c r="H23" s="181">
        <f t="shared" si="5"/>
        <v>16907788.280000001</v>
      </c>
      <c r="I23" s="181">
        <f t="shared" si="5"/>
        <v>1024849.9700000007</v>
      </c>
      <c r="J23" s="181">
        <f t="shared" si="5"/>
        <v>90861759.809999973</v>
      </c>
      <c r="K23" s="181">
        <f t="shared" si="5"/>
        <v>3075283.87</v>
      </c>
      <c r="L23" s="181">
        <f t="shared" si="5"/>
        <v>460672.40000000008</v>
      </c>
      <c r="M23" s="181">
        <f t="shared" si="5"/>
        <v>26943371.269999996</v>
      </c>
      <c r="N23" s="181">
        <f t="shared" si="5"/>
        <v>1367293.8900000001</v>
      </c>
      <c r="O23" s="181">
        <f t="shared" si="5"/>
        <v>245034.49999999994</v>
      </c>
      <c r="P23" s="181">
        <f t="shared" si="5"/>
        <v>1875698.62</v>
      </c>
      <c r="Q23" s="181">
        <f t="shared" si="5"/>
        <v>2088445.9300000002</v>
      </c>
      <c r="R23" s="181">
        <f t="shared" si="5"/>
        <v>205440.33000000101</v>
      </c>
      <c r="S23" s="181">
        <f t="shared" si="5"/>
        <v>266671.21000000008</v>
      </c>
      <c r="T23" s="181">
        <f t="shared" si="5"/>
        <v>1745113.8100000005</v>
      </c>
      <c r="U23" s="181">
        <f t="shared" si="5"/>
        <v>10830665.34</v>
      </c>
      <c r="V23" s="181">
        <f t="shared" si="5"/>
        <v>-1080510.5</v>
      </c>
      <c r="W23" s="181">
        <f t="shared" si="5"/>
        <v>7786577.9200000009</v>
      </c>
      <c r="X23" s="181">
        <f t="shared" si="5"/>
        <v>-9330221.8099999987</v>
      </c>
      <c r="Y23" s="181">
        <f t="shared" si="5"/>
        <v>135991.01</v>
      </c>
      <c r="Z23" s="181">
        <f t="shared" si="5"/>
        <v>-394266.68000000017</v>
      </c>
      <c r="AA23" s="181">
        <f t="shared" si="5"/>
        <v>795544.37999999942</v>
      </c>
      <c r="AB23" s="181">
        <f t="shared" si="5"/>
        <v>5398506.4100000011</v>
      </c>
      <c r="AC23" s="181">
        <f t="shared" si="5"/>
        <v>1285721.0300000003</v>
      </c>
      <c r="AD23" s="181">
        <f t="shared" si="5"/>
        <v>-3100962.9499999997</v>
      </c>
      <c r="AE23" s="181">
        <f t="shared" si="5"/>
        <v>-641556.43999999948</v>
      </c>
      <c r="AF23" s="181">
        <f t="shared" si="5"/>
        <v>10187147.34</v>
      </c>
      <c r="AG23" s="181">
        <f t="shared" si="5"/>
        <v>-118781.69999999995</v>
      </c>
      <c r="AH23" s="181">
        <f t="shared" si="5"/>
        <v>-1114795.5899999999</v>
      </c>
      <c r="AI23" s="181">
        <f t="shared" si="5"/>
        <v>12234275.83</v>
      </c>
      <c r="AJ23" s="181">
        <f t="shared" si="5"/>
        <v>5016254.2100000009</v>
      </c>
      <c r="AK23" s="181">
        <f t="shared" si="5"/>
        <v>6531766.3000000026</v>
      </c>
      <c r="AL23" s="181">
        <f t="shared" si="5"/>
        <v>1172309.7600000002</v>
      </c>
      <c r="AM23" s="181">
        <f t="shared" si="5"/>
        <v>-3843093.26</v>
      </c>
      <c r="AN23" s="181">
        <f t="shared" si="5"/>
        <v>1218796.6800000006</v>
      </c>
      <c r="AO23" s="181">
        <f t="shared" si="5"/>
        <v>928101.93000000017</v>
      </c>
      <c r="AP23" s="181">
        <f t="shared" si="5"/>
        <v>-1573158.0699999984</v>
      </c>
      <c r="AQ23" s="181">
        <f t="shared" si="5"/>
        <v>3349607.29</v>
      </c>
      <c r="AR23" s="181">
        <f t="shared" si="5"/>
        <v>4273584.87</v>
      </c>
      <c r="AS23" s="181">
        <f t="shared" si="5"/>
        <v>-1809164.0300000005</v>
      </c>
      <c r="AT23" s="181">
        <f t="shared" si="5"/>
        <v>8092477.2599999998</v>
      </c>
      <c r="AU23" s="181">
        <f t="shared" si="5"/>
        <v>2942305.2700000005</v>
      </c>
      <c r="AV23" s="181">
        <f t="shared" si="5"/>
        <v>303302.40000000002</v>
      </c>
      <c r="AW23" s="181">
        <f t="shared" si="5"/>
        <v>-28814.959999999963</v>
      </c>
      <c r="AX23" s="181">
        <f t="shared" si="5"/>
        <v>16166827.07</v>
      </c>
      <c r="AY23" s="181">
        <f t="shared" si="5"/>
        <v>-1285711.78</v>
      </c>
      <c r="AZ23" s="181">
        <f t="shared" si="5"/>
        <v>5956684.4200000009</v>
      </c>
      <c r="BA23" s="181">
        <f t="shared" si="5"/>
        <v>-570550.01</v>
      </c>
      <c r="BB23" s="181">
        <f t="shared" si="5"/>
        <v>38530094.520000011</v>
      </c>
      <c r="BC23" s="181">
        <f t="shared" si="5"/>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C24" si="6">D23/D5</f>
        <v>4272.1152222222227</v>
      </c>
      <c r="E24" s="174">
        <f t="shared" si="6"/>
        <v>4437.8262680412354</v>
      </c>
      <c r="F24" s="174">
        <f t="shared" si="6"/>
        <v>625.78152466367624</v>
      </c>
      <c r="G24" s="174">
        <f t="shared" si="6"/>
        <v>3076.3334398237403</v>
      </c>
      <c r="H24" s="174">
        <f t="shared" si="6"/>
        <v>5103.4676365831574</v>
      </c>
      <c r="I24" s="174">
        <f t="shared" si="6"/>
        <v>387.61345310136181</v>
      </c>
      <c r="J24" s="174">
        <f t="shared" si="6"/>
        <v>7200.9636875891565</v>
      </c>
      <c r="K24" s="174">
        <f t="shared" si="6"/>
        <v>2243.0954558716267</v>
      </c>
      <c r="L24" s="174">
        <f t="shared" si="6"/>
        <v>3904.0033898305091</v>
      </c>
      <c r="M24" s="174">
        <f t="shared" si="6"/>
        <v>3759.3653230082314</v>
      </c>
      <c r="N24" s="174">
        <f t="shared" si="6"/>
        <v>2589.5717613636366</v>
      </c>
      <c r="O24" s="174">
        <f t="shared" si="6"/>
        <v>2268.8379629629626</v>
      </c>
      <c r="P24" s="174">
        <f t="shared" si="6"/>
        <v>4519.7557108433739</v>
      </c>
      <c r="Q24" s="174">
        <f t="shared" si="6"/>
        <v>5984.085759312321</v>
      </c>
      <c r="R24" s="174">
        <f t="shared" si="6"/>
        <v>299.03978165939009</v>
      </c>
      <c r="S24" s="174">
        <f t="shared" si="6"/>
        <v>1045.7694509803925</v>
      </c>
      <c r="T24" s="174">
        <f t="shared" si="6"/>
        <v>4002.5546100917445</v>
      </c>
      <c r="U24" s="174">
        <f t="shared" si="6"/>
        <v>3395.1928965517241</v>
      </c>
      <c r="V24" s="174">
        <f t="shared" si="6"/>
        <v>-3334.9089506172841</v>
      </c>
      <c r="W24" s="174">
        <f t="shared" si="6"/>
        <v>6249.259967897272</v>
      </c>
      <c r="X24" s="174">
        <f t="shared" si="6"/>
        <v>-6106.1661060209417</v>
      </c>
      <c r="Y24" s="174">
        <f t="shared" si="6"/>
        <v>1416.5730208333334</v>
      </c>
      <c r="Z24" s="174">
        <f t="shared" si="6"/>
        <v>-2646.0851006711418</v>
      </c>
      <c r="AA24" s="174">
        <f t="shared" si="6"/>
        <v>1541.7526744186034</v>
      </c>
      <c r="AB24" s="174">
        <f t="shared" si="6"/>
        <v>8045.4640983606578</v>
      </c>
      <c r="AC24" s="174">
        <f t="shared" si="6"/>
        <v>2247.7640384615388</v>
      </c>
      <c r="AD24" s="174">
        <f t="shared" si="6"/>
        <v>-6328.4958163265301</v>
      </c>
      <c r="AE24" s="174">
        <f t="shared" si="6"/>
        <v>-335.19145245559014</v>
      </c>
      <c r="AF24" s="174">
        <f t="shared" si="6"/>
        <v>3895.6586386233271</v>
      </c>
      <c r="AG24" s="174">
        <f t="shared" si="6"/>
        <v>-523.26740088105703</v>
      </c>
      <c r="AH24" s="174">
        <f t="shared" si="6"/>
        <v>-8509.89</v>
      </c>
      <c r="AI24" s="174">
        <f t="shared" si="6"/>
        <v>6456.0822321899741</v>
      </c>
      <c r="AJ24" s="174">
        <f t="shared" si="6"/>
        <v>4419.6072334801765</v>
      </c>
      <c r="AK24" s="174">
        <f t="shared" si="6"/>
        <v>5263.3088638195022</v>
      </c>
      <c r="AL24" s="174">
        <f t="shared" si="6"/>
        <v>9851.342521008406</v>
      </c>
      <c r="AM24" s="174">
        <f t="shared" si="6"/>
        <v>-3215.977623430962</v>
      </c>
      <c r="AN24" s="174">
        <f t="shared" si="6"/>
        <v>1838.3057013574671</v>
      </c>
      <c r="AO24" s="174">
        <f t="shared" si="6"/>
        <v>1438.9177209302329</v>
      </c>
      <c r="AP24" s="174">
        <f t="shared" si="6"/>
        <v>-1245.5725019794129</v>
      </c>
      <c r="AQ24" s="174">
        <f t="shared" si="6"/>
        <v>4526.4963378378379</v>
      </c>
      <c r="AR24" s="174">
        <f t="shared" si="6"/>
        <v>4157.183725680934</v>
      </c>
      <c r="AS24" s="174">
        <f t="shared" si="6"/>
        <v>-5761.6688853503201</v>
      </c>
      <c r="AT24" s="174">
        <f t="shared" si="6"/>
        <v>3371.8655249999997</v>
      </c>
      <c r="AU24" s="174">
        <f t="shared" si="6"/>
        <v>3897.0930728476828</v>
      </c>
      <c r="AV24" s="174">
        <f t="shared" si="6"/>
        <v>1675.7038674033151</v>
      </c>
      <c r="AW24" s="174">
        <f t="shared" si="6"/>
        <v>-83.040230547550323</v>
      </c>
      <c r="AX24" s="174">
        <f t="shared" si="6"/>
        <v>9566.1698639053247</v>
      </c>
      <c r="AY24" s="174">
        <f t="shared" si="6"/>
        <v>-3322.2526614987082</v>
      </c>
      <c r="AZ24" s="174">
        <f t="shared" si="6"/>
        <v>5434.9310401459861</v>
      </c>
      <c r="BA24" s="174">
        <f t="shared" si="6"/>
        <v>-3034.8404787234044</v>
      </c>
      <c r="BB24" s="174">
        <f t="shared" si="6"/>
        <v>5988.513291886853</v>
      </c>
      <c r="BC24" s="174">
        <f t="shared" si="6"/>
        <v>3847.7301785714276</v>
      </c>
      <c r="BD24" s="174">
        <f>SUM(C24:BC24)</f>
        <v>113168.01041238003</v>
      </c>
      <c r="BE24" s="174">
        <f t="shared" si="0"/>
        <v>62485.644006223112</v>
      </c>
      <c r="BF24" s="174">
        <f t="shared" si="1"/>
        <v>-4387.5323883778119</v>
      </c>
      <c r="BG24" s="174">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1">
        <f>SUM(C42:BC42)</f>
        <v>538714835.05999994</v>
      </c>
      <c r="BE42" s="181">
        <f t="shared" ref="BE42" si="12">SUM(C42:U42)</f>
        <v>267409193.54999995</v>
      </c>
      <c r="BF42" s="181">
        <f t="shared" ref="BF42" si="13">SUM(V42:AH42)</f>
        <v>66360232.519999996</v>
      </c>
      <c r="BG42" s="181">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1">
        <f t="shared" si="16"/>
        <v>141329869.45999992</v>
      </c>
      <c r="BF45" s="181">
        <f t="shared" si="16"/>
        <v>11166293.910000011</v>
      </c>
      <c r="BG45" s="181">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14</v>
      </c>
    </row>
    <row r="5" spans="1:3" ht="15" customHeight="1" x14ac:dyDescent="0.25">
      <c r="C5" s="65"/>
    </row>
    <row r="6" spans="1:3" ht="15" customHeight="1" x14ac:dyDescent="0.25">
      <c r="C6" s="183" t="s">
        <v>205</v>
      </c>
    </row>
    <row r="7" spans="1:3" x14ac:dyDescent="0.25">
      <c r="A7" s="67">
        <v>10</v>
      </c>
      <c r="B7" s="67" t="s">
        <v>247</v>
      </c>
      <c r="C7" s="4">
        <f>HLOOKUP($B$4,'5.4 Tableau de l''endettement'!$C$6:$BC$24,2,0)</f>
        <v>5311232.7699999996</v>
      </c>
    </row>
    <row r="8" spans="1:3" x14ac:dyDescent="0.25">
      <c r="A8" s="67"/>
      <c r="B8" s="67"/>
      <c r="C8" s="4"/>
    </row>
    <row r="9" spans="1:3" x14ac:dyDescent="0.25">
      <c r="A9" s="67">
        <v>20</v>
      </c>
      <c r="B9" s="67" t="s">
        <v>259</v>
      </c>
      <c r="C9" s="4">
        <f>HLOOKUP($B$4,'5.4 Tableau de l''endettement'!$C$6:$BC$24,4,0)</f>
        <v>10327486.98</v>
      </c>
    </row>
    <row r="10" spans="1:3" x14ac:dyDescent="0.25">
      <c r="A10" s="67"/>
      <c r="B10" s="67"/>
      <c r="C10" s="4"/>
    </row>
    <row r="11" spans="1:3" x14ac:dyDescent="0.25">
      <c r="A11" s="67">
        <v>200</v>
      </c>
      <c r="B11" s="67" t="s">
        <v>460</v>
      </c>
      <c r="C11" s="4">
        <f>HLOOKUP($B$4,'5.4 Tableau de l''endettement'!$C$6:$BC$24,6,0)</f>
        <v>16414.79</v>
      </c>
    </row>
    <row r="12" spans="1:3" x14ac:dyDescent="0.25">
      <c r="A12" s="67"/>
      <c r="B12" s="67"/>
      <c r="C12" s="4"/>
    </row>
    <row r="13" spans="1:3" x14ac:dyDescent="0.25">
      <c r="A13" s="67">
        <v>201</v>
      </c>
      <c r="B13" s="67" t="s">
        <v>261</v>
      </c>
      <c r="C13" s="4">
        <f>HLOOKUP($B$4,'5.4 Tableau de l''endettement'!$C$6:$BC$24,8,0)</f>
        <v>1134925.8399999999</v>
      </c>
    </row>
    <row r="14" spans="1:3" x14ac:dyDescent="0.25">
      <c r="A14" s="67"/>
      <c r="B14" s="67"/>
      <c r="C14" s="4"/>
    </row>
    <row r="15" spans="1:3" x14ac:dyDescent="0.25">
      <c r="A15" s="67">
        <v>206</v>
      </c>
      <c r="B15" s="67" t="s">
        <v>264</v>
      </c>
      <c r="C15" s="4">
        <f>HLOOKUP($B$4,'5.4 Tableau de l''endettement'!$C$6:$BC$24,10,0)</f>
        <v>8541150</v>
      </c>
    </row>
    <row r="16" spans="1:3" x14ac:dyDescent="0.25">
      <c r="A16" s="67"/>
      <c r="B16" s="67"/>
      <c r="C16" s="4"/>
    </row>
    <row r="17" spans="1:3" x14ac:dyDescent="0.25">
      <c r="A17" s="67">
        <v>2016</v>
      </c>
      <c r="B17" s="67" t="s">
        <v>276</v>
      </c>
      <c r="C17" s="4">
        <f>HLOOKUP($B$4,'5.4 Tableau de l''endettement'!$C$6:$BC$24,12,0)</f>
        <v>0</v>
      </c>
    </row>
    <row r="18" spans="1:3" x14ac:dyDescent="0.25">
      <c r="A18" s="67"/>
      <c r="B18" s="67"/>
      <c r="C18" s="4"/>
    </row>
    <row r="19" spans="1:3" x14ac:dyDescent="0.25">
      <c r="A19" s="67"/>
      <c r="B19" s="67"/>
      <c r="C19" s="4"/>
    </row>
    <row r="20" spans="1:3" x14ac:dyDescent="0.25">
      <c r="A20" s="67"/>
      <c r="B20" s="99" t="s">
        <v>655</v>
      </c>
      <c r="C20" s="100">
        <f>HLOOKUP($B$4,'5.4 Tableau de l''endettement'!$C$6:$BC$24,15,0)</f>
        <v>9692490.629999999</v>
      </c>
    </row>
    <row r="21" spans="1:3" x14ac:dyDescent="0.25">
      <c r="A21" s="67"/>
      <c r="B21" s="69" t="s">
        <v>458</v>
      </c>
      <c r="C21" s="70">
        <f>HLOOKUP($B$4,'5.4 Tableau de l''endettement'!$C$6:$BC$24,16,0)</f>
        <v>8539.6393215859025</v>
      </c>
    </row>
    <row r="22" spans="1:3" x14ac:dyDescent="0.25">
      <c r="A22" s="67"/>
      <c r="B22" s="7"/>
      <c r="C22" s="4"/>
    </row>
    <row r="23" spans="1:3" x14ac:dyDescent="0.25">
      <c r="A23" s="67"/>
      <c r="B23" s="99" t="s">
        <v>656</v>
      </c>
      <c r="C23" s="100">
        <f>HLOOKUP($B$4,'5.4 Tableau de l''endettement'!$C$6:$BC$24,18,0)</f>
        <v>5016254.2100000009</v>
      </c>
    </row>
    <row r="24" spans="1:3" x14ac:dyDescent="0.25">
      <c r="A24" s="67"/>
      <c r="B24" s="69" t="s">
        <v>458</v>
      </c>
      <c r="C24" s="70">
        <f>HLOOKUP($B$4,'5.4 Tableau de l''endettement'!$C$6:$BC$24,19,0)</f>
        <v>4419.6072334801765</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HLOOKUP($B$4,'5.4 Tableau de l''endettement'!$C$6:$BC$49,24,0)</f>
        <v>3398783</v>
      </c>
    </row>
    <row r="30" spans="1:3" x14ac:dyDescent="0.25">
      <c r="A30" s="67"/>
      <c r="B30" s="67"/>
      <c r="C30" s="4"/>
    </row>
    <row r="31" spans="1:3" x14ac:dyDescent="0.25">
      <c r="A31" s="67">
        <v>20</v>
      </c>
      <c r="B31" s="67" t="s">
        <v>259</v>
      </c>
      <c r="C31" s="4">
        <f>HLOOKUP($B$4,'5.4 Tableau de l''endettement'!$C$6:$BC$49,26,0)</f>
        <v>16414</v>
      </c>
    </row>
    <row r="32" spans="1:3" x14ac:dyDescent="0.25">
      <c r="A32" s="67"/>
      <c r="B32" s="67"/>
      <c r="C32" s="4"/>
    </row>
    <row r="33" spans="1:3" x14ac:dyDescent="0.25">
      <c r="A33" s="67">
        <v>200</v>
      </c>
      <c r="B33" s="67" t="s">
        <v>460</v>
      </c>
      <c r="C33" s="4">
        <f>HLOOKUP($B$4,'5.4 Tableau de l''endettement'!$C$6:$BC$49,28,0)</f>
        <v>320246</v>
      </c>
    </row>
    <row r="34" spans="1:3" x14ac:dyDescent="0.25">
      <c r="A34" s="67"/>
      <c r="B34" s="67"/>
      <c r="C34" s="4"/>
    </row>
    <row r="35" spans="1:3" x14ac:dyDescent="0.25">
      <c r="A35" s="67">
        <v>201</v>
      </c>
      <c r="B35" s="67" t="s">
        <v>261</v>
      </c>
      <c r="C35" s="4">
        <f>HLOOKUP($B$4,'5.4 Tableau de l''endettement'!$C$6:$BC$49,30,0)</f>
        <v>512379</v>
      </c>
    </row>
    <row r="36" spans="1:3" x14ac:dyDescent="0.25">
      <c r="A36" s="67"/>
      <c r="B36" s="67"/>
      <c r="C36" s="4"/>
    </row>
    <row r="37" spans="1:3" x14ac:dyDescent="0.25">
      <c r="A37" s="67">
        <v>206</v>
      </c>
      <c r="B37" s="67" t="s">
        <v>264</v>
      </c>
      <c r="C37" s="4">
        <f>HLOOKUP($B$4,'5.4 Tableau de l''endettement'!$C$6:$BC$49,32,0)</f>
        <v>5808800</v>
      </c>
    </row>
    <row r="38" spans="1:3" x14ac:dyDescent="0.25">
      <c r="A38" s="67"/>
      <c r="B38" s="67"/>
      <c r="C38" s="4"/>
    </row>
    <row r="39" spans="1:3" x14ac:dyDescent="0.25">
      <c r="A39" s="67">
        <v>2016</v>
      </c>
      <c r="B39" s="67" t="s">
        <v>276</v>
      </c>
      <c r="C39" s="4">
        <f>HLOOKUP($B$4,'5.4 Tableau de l''endettement'!$C$6:$BC$49,34,0)</f>
        <v>162300</v>
      </c>
    </row>
    <row r="40" spans="1:3" x14ac:dyDescent="0.25">
      <c r="A40" s="67"/>
      <c r="B40" s="67"/>
      <c r="C40" s="4"/>
    </row>
    <row r="41" spans="1:3" x14ac:dyDescent="0.25">
      <c r="A41" s="67"/>
      <c r="B41" s="67"/>
      <c r="C41" s="4"/>
    </row>
    <row r="42" spans="1:3" x14ac:dyDescent="0.25">
      <c r="A42" s="67"/>
      <c r="B42" s="99" t="s">
        <v>657</v>
      </c>
      <c r="C42" s="100">
        <f>HLOOKUP($B$4,'5.4 Tableau de l''endettement'!$C$6:$BC$49,37,0)</f>
        <v>6479125</v>
      </c>
    </row>
    <row r="43" spans="1:3" x14ac:dyDescent="0.25">
      <c r="A43" s="67"/>
      <c r="B43" s="69" t="s">
        <v>458</v>
      </c>
      <c r="C43" s="70">
        <f>HLOOKUP($B$4,'5.4 Tableau de l''endettement'!$C$6:$BC$49,38,0)</f>
        <v>5708.4801762114539</v>
      </c>
    </row>
    <row r="44" spans="1:3" x14ac:dyDescent="0.25">
      <c r="A44" s="67"/>
      <c r="B44" s="7"/>
      <c r="C44" s="4"/>
    </row>
    <row r="45" spans="1:3" x14ac:dyDescent="0.25">
      <c r="A45" s="67"/>
      <c r="B45" s="99" t="s">
        <v>658</v>
      </c>
      <c r="C45" s="100">
        <f>HLOOKUP($B$4,'5.4 Tableau de l''endettement'!$C$6:$BC$49,40,0)</f>
        <v>-3382369</v>
      </c>
    </row>
    <row r="46" spans="1:3" x14ac:dyDescent="0.25">
      <c r="A46" s="67"/>
      <c r="B46" s="69" t="s">
        <v>458</v>
      </c>
      <c r="C46" s="70">
        <f>HLOOKUP($B$4,'5.4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'5.4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650</v>
      </c>
      <c r="D5" s="175" t="s">
        <v>35</v>
      </c>
    </row>
    <row r="7" spans="1:5" x14ac:dyDescent="0.25">
      <c r="E7" s="65" t="s">
        <v>205</v>
      </c>
    </row>
    <row r="8" spans="1:5" ht="21" x14ac:dyDescent="0.35">
      <c r="A8" s="92">
        <v>3</v>
      </c>
      <c r="B8" s="92"/>
      <c r="C8" s="92"/>
      <c r="D8" s="92" t="s">
        <v>60</v>
      </c>
      <c r="E8" s="172">
        <f>HLOOKUP(D5,'4.1 Comptes 2020 natures'!$E$3:$BE$158,2,0)</f>
        <v>1487464.8</v>
      </c>
    </row>
    <row r="9" spans="1:5" x14ac:dyDescent="0.25">
      <c r="A9" s="94"/>
      <c r="B9" s="94">
        <v>30</v>
      </c>
      <c r="C9" s="94"/>
      <c r="D9" s="94" t="s">
        <v>61</v>
      </c>
      <c r="E9" s="95">
        <f>HLOOKUP($D$5,'4.1 Comptes 2020 natures'!$E$3:$BE$158,3,0)</f>
        <v>141865.75</v>
      </c>
    </row>
    <row r="10" spans="1:5" x14ac:dyDescent="0.25">
      <c r="C10">
        <v>300</v>
      </c>
      <c r="D10" t="s">
        <v>80</v>
      </c>
      <c r="E10" s="89">
        <f>HLOOKUP($D$5,'4.1 Comptes 2020 natures'!$E$3:$BE$158,4,0)</f>
        <v>13207.6</v>
      </c>
    </row>
    <row r="11" spans="1:5" x14ac:dyDescent="0.25">
      <c r="C11">
        <v>301</v>
      </c>
      <c r="D11" t="s">
        <v>81</v>
      </c>
      <c r="E11" s="89">
        <f>HLOOKUP($D$5,'4.1 Comptes 2020 natures'!$E$3:$BE$158,5,0)</f>
        <v>109173</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19018.849999999999</v>
      </c>
    </row>
    <row r="16" spans="1:5" x14ac:dyDescent="0.25">
      <c r="C16">
        <v>306</v>
      </c>
      <c r="D16" t="s">
        <v>85</v>
      </c>
      <c r="E16" s="89">
        <f>HLOOKUP($D$5,'4.1 Comptes 2020 natures'!$E$3:$BE$158,10,0)</f>
        <v>0</v>
      </c>
    </row>
    <row r="17" spans="2:5" x14ac:dyDescent="0.25">
      <c r="C17">
        <v>309</v>
      </c>
      <c r="D17" t="s">
        <v>86</v>
      </c>
      <c r="E17" s="89">
        <f>HLOOKUP($D$5,'4.1 Comptes 2020 natures'!$E$3:$BE$158,11,0)</f>
        <v>466.3</v>
      </c>
    </row>
    <row r="18" spans="2:5" x14ac:dyDescent="0.25">
      <c r="E18" s="4"/>
    </row>
    <row r="19" spans="2:5" x14ac:dyDescent="0.25">
      <c r="B19" s="94">
        <v>31</v>
      </c>
      <c r="C19" s="94"/>
      <c r="D19" s="94" t="s">
        <v>87</v>
      </c>
      <c r="E19" s="95">
        <f>SUM(E20:E29)</f>
        <v>386145.29000000004</v>
      </c>
    </row>
    <row r="20" spans="2:5" x14ac:dyDescent="0.25">
      <c r="C20">
        <v>310</v>
      </c>
      <c r="D20" t="s">
        <v>88</v>
      </c>
      <c r="E20" s="89">
        <f>HLOOKUP($D$5,'4.1 Comptes 2020 natures'!$E$3:$BE$158,14,0)</f>
        <v>84169.05</v>
      </c>
    </row>
    <row r="21" spans="2:5" x14ac:dyDescent="0.25">
      <c r="C21">
        <v>311</v>
      </c>
      <c r="D21" t="s">
        <v>462</v>
      </c>
      <c r="E21" s="89">
        <f>HLOOKUP($D$5,'4.1 Comptes 2020 natures'!$E$3:$BE$158,15,0)</f>
        <v>5603.1</v>
      </c>
    </row>
    <row r="22" spans="2:5" x14ac:dyDescent="0.25">
      <c r="C22">
        <v>312</v>
      </c>
      <c r="D22" t="s">
        <v>90</v>
      </c>
      <c r="E22" s="89">
        <f>HLOOKUP($D$5,'4.1 Comptes 2020 natures'!$E$3:$BE$158,16,0)</f>
        <v>82644.850000000006</v>
      </c>
    </row>
    <row r="23" spans="2:5" x14ac:dyDescent="0.25">
      <c r="C23">
        <v>313</v>
      </c>
      <c r="D23" t="s">
        <v>91</v>
      </c>
      <c r="E23" s="89">
        <f>HLOOKUP($D$5,'4.1 Comptes 2020 natures'!$E$3:$BE$158,17,0)</f>
        <v>102946.94</v>
      </c>
    </row>
    <row r="24" spans="2:5" x14ac:dyDescent="0.25">
      <c r="C24">
        <v>314</v>
      </c>
      <c r="D24" t="s">
        <v>92</v>
      </c>
      <c r="E24" s="89">
        <f>HLOOKUP($D$5,'4.1 Comptes 2020 natures'!$E$3:$BE$158,18,0)</f>
        <v>68794.2</v>
      </c>
    </row>
    <row r="25" spans="2:5" x14ac:dyDescent="0.25">
      <c r="C25">
        <v>315</v>
      </c>
      <c r="D25" t="s">
        <v>93</v>
      </c>
      <c r="E25" s="89">
        <f>HLOOKUP($D$5,'4.1 Comptes 2020 natures'!$E$3:$BE$158,19,0)</f>
        <v>12657.45</v>
      </c>
    </row>
    <row r="26" spans="2:5" x14ac:dyDescent="0.25">
      <c r="C26">
        <v>316</v>
      </c>
      <c r="D26" t="s">
        <v>94</v>
      </c>
      <c r="E26" s="89">
        <f>HLOOKUP($D$5,'4.1 Comptes 2020 natures'!$E$3:$BE$158,20,0)</f>
        <v>2739.7</v>
      </c>
    </row>
    <row r="27" spans="2:5" x14ac:dyDescent="0.25">
      <c r="C27">
        <v>317</v>
      </c>
      <c r="D27" t="s">
        <v>95</v>
      </c>
      <c r="E27" s="89">
        <f>HLOOKUP($D$5,'4.1 Comptes 2020 natures'!$E$3:$BE$158,21,0)</f>
        <v>3792.7</v>
      </c>
    </row>
    <row r="28" spans="2:5" x14ac:dyDescent="0.25">
      <c r="C28">
        <v>318</v>
      </c>
      <c r="D28" t="s">
        <v>96</v>
      </c>
      <c r="E28" s="89">
        <f>HLOOKUP($D$5,'4.1 Comptes 2020 natures'!$E$3:$BE$158,22,0)</f>
        <v>22797.3</v>
      </c>
    </row>
    <row r="29" spans="2:5" x14ac:dyDescent="0.25">
      <c r="C29">
        <v>319</v>
      </c>
      <c r="D29" t="s">
        <v>97</v>
      </c>
      <c r="E29" s="89">
        <f>HLOOKUP($D$5,'4.1 Comptes 2020 natures'!$E$3:$BE$158,23,0)</f>
        <v>0</v>
      </c>
    </row>
    <row r="30" spans="2:5" x14ac:dyDescent="0.25">
      <c r="E30" s="4"/>
    </row>
    <row r="31" spans="2:5" x14ac:dyDescent="0.25">
      <c r="B31" s="94">
        <v>33</v>
      </c>
      <c r="C31" s="94"/>
      <c r="D31" s="94" t="s">
        <v>98</v>
      </c>
      <c r="E31" s="95">
        <f>SUM(E32:E33)</f>
        <v>186165</v>
      </c>
    </row>
    <row r="32" spans="2:5" x14ac:dyDescent="0.25">
      <c r="C32">
        <v>330</v>
      </c>
      <c r="D32" t="s">
        <v>100</v>
      </c>
      <c r="E32" s="89">
        <f>HLOOKUP($D$5,'4.1 Comptes 2020 natures'!$E$3:$BE$158,26,0)</f>
        <v>181665</v>
      </c>
    </row>
    <row r="33" spans="2:5" x14ac:dyDescent="0.25">
      <c r="C33">
        <v>332</v>
      </c>
      <c r="D33" t="s">
        <v>99</v>
      </c>
      <c r="E33" s="89">
        <f>HLOOKUP($D$5,'4.1 Comptes 2020 natures'!$E$3:$BE$158,27,0)</f>
        <v>4500</v>
      </c>
    </row>
    <row r="34" spans="2:5" x14ac:dyDescent="0.25">
      <c r="E34" s="4"/>
    </row>
    <row r="35" spans="2:5" x14ac:dyDescent="0.25">
      <c r="B35" s="94">
        <v>34</v>
      </c>
      <c r="C35" s="94"/>
      <c r="D35" s="94" t="s">
        <v>101</v>
      </c>
      <c r="E35" s="95">
        <f>SUM(E36:E41)</f>
        <v>16514.060000000001</v>
      </c>
    </row>
    <row r="36" spans="2:5" x14ac:dyDescent="0.25">
      <c r="C36">
        <v>340</v>
      </c>
      <c r="D36" t="s">
        <v>102</v>
      </c>
      <c r="E36" s="89">
        <f>HLOOKUP($D$5,'4.1 Comptes 2020 natures'!$E$3:$BE$158,30,0)</f>
        <v>16514.060000000001</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310</v>
      </c>
    </row>
    <row r="44" spans="2:5" x14ac:dyDescent="0.25">
      <c r="C44">
        <v>350</v>
      </c>
      <c r="D44" t="s">
        <v>109</v>
      </c>
      <c r="E44" s="89">
        <f>HLOOKUP($D$5,'4.1 Comptes 2020 natures'!$E$3:$BE$158,38,0)</f>
        <v>0</v>
      </c>
    </row>
    <row r="45" spans="2:5" x14ac:dyDescent="0.25">
      <c r="C45">
        <v>351</v>
      </c>
      <c r="D45" t="s">
        <v>108</v>
      </c>
      <c r="E45" s="89">
        <f>HLOOKUP($D$5,'4.1 Comptes 2020 natures'!$E$3:$BE$158,39,0)</f>
        <v>310</v>
      </c>
    </row>
    <row r="46" spans="2:5" x14ac:dyDescent="0.25">
      <c r="E46" s="4"/>
    </row>
    <row r="47" spans="2:5" x14ac:dyDescent="0.25">
      <c r="B47" s="94">
        <v>36</v>
      </c>
      <c r="C47" s="94"/>
      <c r="D47" s="94" t="s">
        <v>110</v>
      </c>
      <c r="E47" s="95">
        <f>SUM(E48:E55)</f>
        <v>698464.7</v>
      </c>
    </row>
    <row r="48" spans="2:5" x14ac:dyDescent="0.25">
      <c r="C48">
        <v>360</v>
      </c>
      <c r="D48" t="s">
        <v>111</v>
      </c>
      <c r="E48" s="89">
        <f>HLOOKUP($D$5,'4.1 Comptes 2020 natures'!$E$3:$BE$158,42,0)</f>
        <v>1723.2</v>
      </c>
    </row>
    <row r="49" spans="2:5" x14ac:dyDescent="0.25">
      <c r="C49">
        <v>361</v>
      </c>
      <c r="D49" t="s">
        <v>112</v>
      </c>
      <c r="E49" s="89">
        <f>HLOOKUP($D$5,'4.1 Comptes 2020 natures'!$E$3:$BE$158,43,0)</f>
        <v>519829.25</v>
      </c>
    </row>
    <row r="50" spans="2:5" x14ac:dyDescent="0.25">
      <c r="C50">
        <v>362</v>
      </c>
      <c r="D50" t="s">
        <v>113</v>
      </c>
      <c r="E50" s="89">
        <f>HLOOKUP($D$5,'4.1 Comptes 2020 natures'!$E$3:$BE$158,44,0)</f>
        <v>0</v>
      </c>
    </row>
    <row r="51" spans="2:5" x14ac:dyDescent="0.25">
      <c r="C51">
        <v>363</v>
      </c>
      <c r="D51" t="s">
        <v>114</v>
      </c>
      <c r="E51" s="89">
        <f>HLOOKUP($D$5,'4.1 Comptes 2020 natures'!$E$3:$BE$158,45,0)</f>
        <v>173933.25</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2979</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58000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58000</v>
      </c>
    </row>
    <row r="67" spans="1:5" x14ac:dyDescent="0.25">
      <c r="E67" s="4"/>
    </row>
    <row r="68" spans="1:5" x14ac:dyDescent="0.25">
      <c r="B68" s="94">
        <v>39</v>
      </c>
      <c r="C68" s="94"/>
      <c r="D68" s="94" t="s">
        <v>128</v>
      </c>
      <c r="E68" s="95">
        <f>SUM(E69:E76)</f>
        <v>0</v>
      </c>
    </row>
    <row r="69" spans="1:5" x14ac:dyDescent="0.25">
      <c r="C69">
        <v>390</v>
      </c>
      <c r="D69" t="s">
        <v>129</v>
      </c>
      <c r="E69" s="89">
        <f>HLOOKUP($D$5,'4.1 Comptes 2020 natures'!$E$3:$BE$158,63,0)</f>
        <v>0</v>
      </c>
    </row>
    <row r="70" spans="1:5" x14ac:dyDescent="0.25">
      <c r="C70">
        <v>391</v>
      </c>
      <c r="D70" t="s">
        <v>130</v>
      </c>
      <c r="E70" s="89">
        <f>HLOOKUP($D$5,'4.1 Comptes 2020 natures'!$E$3:$BE$158,64,0)</f>
        <v>0</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3">
        <f>HLOOKUP($D$5,'4.1 Comptes 2020 natures'!$E$3:$BE$158,73,0)</f>
        <v>1561153.8499999999</v>
      </c>
    </row>
    <row r="80" spans="1:5" x14ac:dyDescent="0.25">
      <c r="A80" s="7"/>
      <c r="B80" s="96">
        <v>40</v>
      </c>
      <c r="C80" s="96"/>
      <c r="D80" s="96" t="s">
        <v>79</v>
      </c>
      <c r="E80" s="91">
        <f>SUM(E81:E84)</f>
        <v>902646.45</v>
      </c>
    </row>
    <row r="81" spans="2:5" x14ac:dyDescent="0.25">
      <c r="C81">
        <v>400</v>
      </c>
      <c r="D81" t="s">
        <v>138</v>
      </c>
      <c r="E81" s="89">
        <f>HLOOKUP($D$5,'4.1 Comptes 2020 natures'!$E$3:$BE$158,75,0)</f>
        <v>756659.25</v>
      </c>
    </row>
    <row r="82" spans="2:5" x14ac:dyDescent="0.25">
      <c r="C82">
        <v>401</v>
      </c>
      <c r="D82" t="s">
        <v>139</v>
      </c>
      <c r="E82" s="89">
        <f>HLOOKUP($D$5,'4.1 Comptes 2020 natures'!$E$3:$BE$158,76,0)</f>
        <v>20567.45</v>
      </c>
    </row>
    <row r="83" spans="2:5" x14ac:dyDescent="0.25">
      <c r="C83">
        <v>402</v>
      </c>
      <c r="D83" t="s">
        <v>140</v>
      </c>
      <c r="E83" s="89">
        <f>HLOOKUP($D$5,'4.1 Comptes 2020 natures'!$E$3:$BE$158,77,0)</f>
        <v>118839.75</v>
      </c>
    </row>
    <row r="84" spans="2:5" x14ac:dyDescent="0.25">
      <c r="C84">
        <v>403</v>
      </c>
      <c r="D84" t="s">
        <v>141</v>
      </c>
      <c r="E84" s="89">
        <f>HLOOKUP($D$5,'4.1 Comptes 2020 natures'!$E$3:$BE$158,78,0)</f>
        <v>6580</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231811.59999999998</v>
      </c>
    </row>
    <row r="93" spans="2:5" x14ac:dyDescent="0.25">
      <c r="C93">
        <v>420</v>
      </c>
      <c r="D93" t="s">
        <v>148</v>
      </c>
      <c r="E93" s="89">
        <f>HLOOKUP($D$5,'4.1 Comptes 2020 natures'!$E$3:$BE$158,87,0)</f>
        <v>7683.05</v>
      </c>
    </row>
    <row r="94" spans="2:5" x14ac:dyDescent="0.25">
      <c r="C94">
        <v>421</v>
      </c>
      <c r="D94" t="s">
        <v>149</v>
      </c>
      <c r="E94" s="89">
        <f>HLOOKUP($D$5,'4.1 Comptes 2020 natures'!$E$3:$BE$158,88,0)</f>
        <v>1001.25</v>
      </c>
    </row>
    <row r="95" spans="2:5" x14ac:dyDescent="0.25">
      <c r="C95">
        <v>422</v>
      </c>
      <c r="D95" t="s">
        <v>150</v>
      </c>
      <c r="E95" s="89">
        <f>HLOOKUP($D$5,'4.1 Comptes 2020 natures'!$E$3:$BE$158,89,0)</f>
        <v>0</v>
      </c>
    </row>
    <row r="96" spans="2:5" x14ac:dyDescent="0.25">
      <c r="C96">
        <v>423</v>
      </c>
      <c r="D96" t="s">
        <v>151</v>
      </c>
      <c r="E96" s="89">
        <f>HLOOKUP($D$5,'4.1 Comptes 2020 natures'!$E$3:$BE$158,90,0)</f>
        <v>0</v>
      </c>
    </row>
    <row r="97" spans="2:5" x14ac:dyDescent="0.25">
      <c r="C97">
        <v>424</v>
      </c>
      <c r="D97" t="s">
        <v>152</v>
      </c>
      <c r="E97" s="89">
        <f>HLOOKUP($D$5,'4.1 Comptes 2020 natures'!$E$3:$BE$158,91,0)</f>
        <v>221905.3</v>
      </c>
    </row>
    <row r="98" spans="2:5" x14ac:dyDescent="0.25">
      <c r="C98">
        <v>425</v>
      </c>
      <c r="D98" t="s">
        <v>153</v>
      </c>
      <c r="E98" s="89">
        <f>HLOOKUP($D$5,'4.1 Comptes 2020 natures'!$E$3:$BE$158,92,0)</f>
        <v>624</v>
      </c>
    </row>
    <row r="99" spans="2:5" x14ac:dyDescent="0.25">
      <c r="C99">
        <v>426</v>
      </c>
      <c r="D99" t="s">
        <v>154</v>
      </c>
      <c r="E99" s="89">
        <f>HLOOKUP($D$5,'4.1 Comptes 2020 natures'!$E$3:$BE$158,93,0)</f>
        <v>598</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59613.799999999996</v>
      </c>
    </row>
    <row r="110" spans="2:5" x14ac:dyDescent="0.25">
      <c r="C110">
        <v>440</v>
      </c>
      <c r="D110" t="s">
        <v>163</v>
      </c>
      <c r="E110" s="89">
        <f>HLOOKUP($D$5,'4.1 Comptes 2020 natures'!$E$3:$BE$158,104,0)</f>
        <v>8404.1</v>
      </c>
    </row>
    <row r="111" spans="2:5" x14ac:dyDescent="0.25">
      <c r="C111">
        <v>441</v>
      </c>
      <c r="D111" t="s">
        <v>164</v>
      </c>
      <c r="E111" s="89">
        <f>HLOOKUP($D$5,'4.1 Comptes 2020 natures'!$E$3:$BE$158,105,0)</f>
        <v>4030</v>
      </c>
    </row>
    <row r="112" spans="2:5" x14ac:dyDescent="0.25">
      <c r="C112">
        <v>442</v>
      </c>
      <c r="D112" t="s">
        <v>165</v>
      </c>
      <c r="E112" s="89">
        <f>HLOOKUP($D$5,'4.1 Comptes 2020 natures'!$E$3:$BE$158,106,0)</f>
        <v>0</v>
      </c>
    </row>
    <row r="113" spans="2:5" x14ac:dyDescent="0.25">
      <c r="C113">
        <v>443</v>
      </c>
      <c r="D113" t="s">
        <v>166</v>
      </c>
      <c r="E113" s="89">
        <f>HLOOKUP($D$5,'4.1 Comptes 2020 natures'!$E$3:$BE$158,107,0)</f>
        <v>39303.699999999997</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7876</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0</v>
      </c>
    </row>
    <row r="122" spans="2:5" x14ac:dyDescent="0.25">
      <c r="C122">
        <v>450</v>
      </c>
      <c r="D122" t="s">
        <v>172</v>
      </c>
      <c r="E122" s="89">
        <f>HLOOKUP($D$5,'4.1 Comptes 2020 natures'!$E$3:$BE$158,116,0)</f>
        <v>0</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367082.00000000006</v>
      </c>
    </row>
    <row r="126" spans="2:5" x14ac:dyDescent="0.25">
      <c r="C126">
        <v>460</v>
      </c>
      <c r="D126" t="s">
        <v>176</v>
      </c>
      <c r="E126" s="89">
        <f>HLOOKUP($D$5,'4.1 Comptes 2020 natures'!$E$3:$BE$158,120,0)</f>
        <v>493</v>
      </c>
    </row>
    <row r="127" spans="2:5" x14ac:dyDescent="0.25">
      <c r="C127">
        <v>461</v>
      </c>
      <c r="D127" t="s">
        <v>177</v>
      </c>
      <c r="E127" s="89">
        <f>HLOOKUP($D$5,'4.1 Comptes 2020 natures'!$E$3:$BE$158,121,0)</f>
        <v>3721.4</v>
      </c>
    </row>
    <row r="128" spans="2:5" x14ac:dyDescent="0.25">
      <c r="C128">
        <v>462</v>
      </c>
      <c r="D128" t="s">
        <v>113</v>
      </c>
      <c r="E128" s="89">
        <f>HLOOKUP($D$5,'4.1 Comptes 2020 natures'!$E$3:$BE$158,122,0)</f>
        <v>276102</v>
      </c>
    </row>
    <row r="129" spans="2:5" x14ac:dyDescent="0.25">
      <c r="C129">
        <v>463</v>
      </c>
      <c r="D129" t="s">
        <v>178</v>
      </c>
      <c r="E129" s="89">
        <f>HLOOKUP($D$5,'4.1 Comptes 2020 natures'!$E$3:$BE$158,123,0)</f>
        <v>83127.95</v>
      </c>
    </row>
    <row r="130" spans="2:5" x14ac:dyDescent="0.25">
      <c r="C130">
        <v>469</v>
      </c>
      <c r="D130" t="s">
        <v>179</v>
      </c>
      <c r="E130" s="89">
        <f>HLOOKUP($D$5,'4.1 Comptes 2020 natures'!$E$3:$BE$158,124,0)</f>
        <v>3637.65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HLOOKUP($D$5,'4.1 Comptes 2020 natures'!$E$3:$BE$158,139,0)</f>
        <v>0</v>
      </c>
    </row>
    <row r="146" spans="1:5" x14ac:dyDescent="0.25">
      <c r="C146">
        <v>491</v>
      </c>
      <c r="D146" t="s">
        <v>130</v>
      </c>
      <c r="E146" s="89">
        <f>HLOOKUP($D$5,'4.1 Comptes 2020 natures'!$E$3:$BE$158,140,0)</f>
        <v>0</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73689.049999999988</v>
      </c>
    </row>
    <row r="158" spans="1:5" x14ac:dyDescent="0.25">
      <c r="C158">
        <v>900</v>
      </c>
      <c r="D158" t="s">
        <v>196</v>
      </c>
      <c r="E158" s="89">
        <f>HLOOKUP($D$5,'4.1 Comptes 2020 natures'!$E$3:$BE$158,152,0)</f>
        <v>26132.85</v>
      </c>
    </row>
    <row r="159" spans="1:5" x14ac:dyDescent="0.25">
      <c r="C159">
        <v>901</v>
      </c>
      <c r="D159" t="s">
        <v>197</v>
      </c>
      <c r="E159" s="89">
        <f>HLOOKUP($D$5,'4.1 Comptes 2020 natures'!$E$3:$BE$158,153,0)</f>
        <v>47556.2</v>
      </c>
    </row>
    <row r="160" spans="1:5" x14ac:dyDescent="0.25">
      <c r="E160" s="4"/>
    </row>
    <row r="161" spans="4:5" x14ac:dyDescent="0.25">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A139" activePane="bottomRight" state="frozen"/>
      <selection pane="topRight" activeCell="E1" sqref="E1"/>
      <selection pane="bottomLeft" activeCell="A4" sqref="A4"/>
      <selection pane="bottomRight" activeCell="BF154" sqref="BF1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596</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25">
      <c r="D163" s="7" t="s">
        <v>463</v>
      </c>
    </row>
    <row r="164" spans="3:6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25">
      <c r="M177" s="4"/>
    </row>
    <row r="178" spans="4:61" x14ac:dyDescent="0.25">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651</v>
      </c>
      <c r="B2" s="7"/>
      <c r="C2" s="7"/>
      <c r="D2" s="7"/>
    </row>
    <row r="4" spans="1:5" ht="15.75" thickBot="1" x14ac:dyDescent="0.3"/>
    <row r="5" spans="1:5" ht="15.75" thickBot="1" x14ac:dyDescent="0.3">
      <c r="A5" t="s">
        <v>650</v>
      </c>
      <c r="D5" s="175" t="s">
        <v>56</v>
      </c>
    </row>
    <row r="7" spans="1:5" x14ac:dyDescent="0.25">
      <c r="E7" s="65" t="s">
        <v>205</v>
      </c>
    </row>
    <row r="8" spans="1:5" ht="21" x14ac:dyDescent="0.35">
      <c r="A8" s="92">
        <v>3</v>
      </c>
      <c r="B8" s="92"/>
      <c r="C8" s="92"/>
      <c r="D8" s="92" t="s">
        <v>60</v>
      </c>
      <c r="E8" s="172">
        <f>HLOOKUP($D$5,'4.9 Comptes 2020 par habitant'!$E$3:$BE$158,2,0)</f>
        <v>4359.3356229685805</v>
      </c>
    </row>
    <row r="9" spans="1:5" x14ac:dyDescent="0.25">
      <c r="A9" s="94"/>
      <c r="B9" s="94">
        <v>30</v>
      </c>
      <c r="C9" s="94"/>
      <c r="D9" s="94" t="s">
        <v>61</v>
      </c>
      <c r="E9" s="95">
        <f>SUM(E10:E17)</f>
        <v>508.96890574214524</v>
      </c>
    </row>
    <row r="10" spans="1:5" x14ac:dyDescent="0.25">
      <c r="C10">
        <v>300</v>
      </c>
      <c r="D10" t="s">
        <v>80</v>
      </c>
      <c r="E10" s="89">
        <f>HLOOKUP($D$5,'4.9 Comptes 2020 par habitant'!$E$3:$BE$158,4,0)</f>
        <v>43.040953412784404</v>
      </c>
    </row>
    <row r="11" spans="1:5" x14ac:dyDescent="0.25">
      <c r="C11">
        <v>301</v>
      </c>
      <c r="D11" t="s">
        <v>81</v>
      </c>
      <c r="E11" s="89">
        <f>HLOOKUP($D$5,'4.9 Comptes 2020 par habitant'!$E$3:$BE$158,5,0)</f>
        <v>382.70260021668474</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596</v>
      </c>
      <c r="E14" s="89">
        <f>HLOOKUP($D$5,'4.9 Comptes 2020 par habitant'!$E$3:$BE$158,8,0)</f>
        <v>0</v>
      </c>
    </row>
    <row r="15" spans="1:5" x14ac:dyDescent="0.25">
      <c r="C15">
        <v>305</v>
      </c>
      <c r="D15" t="s">
        <v>84</v>
      </c>
      <c r="E15" s="89">
        <f>HLOOKUP($D$5,'4.9 Comptes 2020 par habitant'!$E$3:$BE$158,9,0)</f>
        <v>77.633044420368364</v>
      </c>
    </row>
    <row r="16" spans="1:5" x14ac:dyDescent="0.25">
      <c r="C16">
        <v>306</v>
      </c>
      <c r="D16" t="s">
        <v>85</v>
      </c>
      <c r="E16" s="89">
        <f>HLOOKUP($D$5,'4.9 Comptes 2020 par habitant'!$E$3:$BE$158,10,0)</f>
        <v>0</v>
      </c>
    </row>
    <row r="17" spans="2:5" x14ac:dyDescent="0.25">
      <c r="C17">
        <v>309</v>
      </c>
      <c r="D17" t="s">
        <v>86</v>
      </c>
      <c r="E17" s="89">
        <f>HLOOKUP($D$5,'4.9 Comptes 2020 par habitant'!$E$3:$BE$158,11,0)</f>
        <v>5.592307692307692</v>
      </c>
    </row>
    <row r="18" spans="2:5" x14ac:dyDescent="0.25">
      <c r="E18" s="4"/>
    </row>
    <row r="19" spans="2:5" x14ac:dyDescent="0.25">
      <c r="B19" s="94">
        <v>31</v>
      </c>
      <c r="C19" s="94"/>
      <c r="D19" s="94" t="s">
        <v>87</v>
      </c>
      <c r="E19" s="95">
        <f>SUM(E20:E29)</f>
        <v>563.03210184182012</v>
      </c>
    </row>
    <row r="20" spans="2:5" x14ac:dyDescent="0.25">
      <c r="C20">
        <v>310</v>
      </c>
      <c r="D20" t="s">
        <v>88</v>
      </c>
      <c r="E20" s="89">
        <f>HLOOKUP($D$5,'4.9 Comptes 2020 par habitant'!$E$3:$BE$158,14,0)</f>
        <v>59.82329360780065</v>
      </c>
    </row>
    <row r="21" spans="2:5" x14ac:dyDescent="0.25">
      <c r="C21">
        <v>311</v>
      </c>
      <c r="D21" t="s">
        <v>462</v>
      </c>
      <c r="E21" s="89">
        <f>HLOOKUP($D$5,'4.9 Comptes 2020 par habitant'!$E$3:$BE$158,15,0)</f>
        <v>61.002221018418204</v>
      </c>
    </row>
    <row r="22" spans="2:5" x14ac:dyDescent="0.25">
      <c r="C22">
        <v>312</v>
      </c>
      <c r="D22" t="s">
        <v>90</v>
      </c>
      <c r="E22" s="89">
        <f>HLOOKUP($D$5,'4.9 Comptes 2020 par habitant'!$E$3:$BE$158,16,0)</f>
        <v>72.245232936078011</v>
      </c>
    </row>
    <row r="23" spans="2:5" x14ac:dyDescent="0.25">
      <c r="C23">
        <v>313</v>
      </c>
      <c r="D23" t="s">
        <v>91</v>
      </c>
      <c r="E23" s="89">
        <f>HLOOKUP($D$5,'4.9 Comptes 2020 par habitant'!$E$3:$BE$158,17,0)</f>
        <v>86.043640303358615</v>
      </c>
    </row>
    <row r="24" spans="2:5" x14ac:dyDescent="0.25">
      <c r="C24">
        <v>314</v>
      </c>
      <c r="D24" t="s">
        <v>92</v>
      </c>
      <c r="E24" s="89">
        <f>HLOOKUP($D$5,'4.9 Comptes 2020 par habitant'!$E$3:$BE$158,18,0)</f>
        <v>125.43250270855904</v>
      </c>
    </row>
    <row r="25" spans="2:5" x14ac:dyDescent="0.25">
      <c r="C25">
        <v>315</v>
      </c>
      <c r="D25" t="s">
        <v>93</v>
      </c>
      <c r="E25" s="89">
        <f>HLOOKUP($D$5,'4.9 Comptes 2020 par habitant'!$E$3:$BE$158,19,0)</f>
        <v>35.926814734561212</v>
      </c>
    </row>
    <row r="26" spans="2:5" x14ac:dyDescent="0.25">
      <c r="C26">
        <v>316</v>
      </c>
      <c r="D26" t="s">
        <v>94</v>
      </c>
      <c r="E26" s="89">
        <f>HLOOKUP($D$5,'4.9 Comptes 2020 par habitant'!$E$3:$BE$158,20,0)</f>
        <v>4.2006500541711809</v>
      </c>
    </row>
    <row r="27" spans="2:5" x14ac:dyDescent="0.25">
      <c r="C27">
        <v>317</v>
      </c>
      <c r="D27" t="s">
        <v>95</v>
      </c>
      <c r="E27" s="89">
        <f>HLOOKUP($D$5,'4.9 Comptes 2020 par habitant'!$E$3:$BE$158,21,0)</f>
        <v>18.963542795232936</v>
      </c>
    </row>
    <row r="28" spans="2:5" x14ac:dyDescent="0.25">
      <c r="C28">
        <v>318</v>
      </c>
      <c r="D28" t="s">
        <v>96</v>
      </c>
      <c r="E28" s="89">
        <f>HLOOKUP($D$5,'4.9 Comptes 2020 par habitant'!$E$3:$BE$158,22,0)</f>
        <v>96.872101841820154</v>
      </c>
    </row>
    <row r="29" spans="2:5" x14ac:dyDescent="0.25">
      <c r="C29">
        <v>319</v>
      </c>
      <c r="D29" t="s">
        <v>97</v>
      </c>
      <c r="E29" s="89">
        <f>HLOOKUP($D$5,'4.9 Comptes 2020 par habitant'!$E$3:$BE$158,23,0)</f>
        <v>2.522101841820152</v>
      </c>
    </row>
    <row r="30" spans="2:5" x14ac:dyDescent="0.25">
      <c r="E30" s="4"/>
    </row>
    <row r="31" spans="2:5" x14ac:dyDescent="0.25">
      <c r="B31" s="94">
        <v>33</v>
      </c>
      <c r="C31" s="94"/>
      <c r="D31" s="94" t="s">
        <v>98</v>
      </c>
      <c r="E31" s="95">
        <f>SUM(E32:E33)</f>
        <v>547.51785482123512</v>
      </c>
    </row>
    <row r="32" spans="2:5" x14ac:dyDescent="0.25">
      <c r="C32">
        <v>330</v>
      </c>
      <c r="D32" t="s">
        <v>100</v>
      </c>
      <c r="E32" s="89">
        <f>HLOOKUP($D$5,'4.9 Comptes 2020 par habitant'!$E$3:$BE$158,26,0)</f>
        <v>511.99821235102922</v>
      </c>
    </row>
    <row r="33" spans="2:5" x14ac:dyDescent="0.25">
      <c r="C33">
        <v>332</v>
      </c>
      <c r="D33" t="s">
        <v>99</v>
      </c>
      <c r="E33" s="89">
        <f>HLOOKUP($D$5,'4.9 Comptes 2020 par habitant'!$E$3:$BE$158,27,0)</f>
        <v>35.519642470205845</v>
      </c>
    </row>
    <row r="34" spans="2:5" x14ac:dyDescent="0.25">
      <c r="E34" s="4"/>
    </row>
    <row r="35" spans="2:5" x14ac:dyDescent="0.25">
      <c r="B35" s="94">
        <v>34</v>
      </c>
      <c r="C35" s="94"/>
      <c r="D35" s="94" t="s">
        <v>101</v>
      </c>
      <c r="E35" s="95">
        <f>SUM(E36:E41)</f>
        <v>40.224962080173349</v>
      </c>
    </row>
    <row r="36" spans="2:5" x14ac:dyDescent="0.25">
      <c r="C36">
        <v>340</v>
      </c>
      <c r="D36" t="s">
        <v>102</v>
      </c>
      <c r="E36" s="89">
        <f>HLOOKUP($D$5,'4.9 Comptes 2020 par habitant'!$E$3:$BE$158,30,0)</f>
        <v>40.224962080173349</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0</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23.058017334777897</v>
      </c>
    </row>
    <row r="44" spans="2:5" x14ac:dyDescent="0.25">
      <c r="C44">
        <v>350</v>
      </c>
      <c r="D44" t="s">
        <v>109</v>
      </c>
      <c r="E44" s="89">
        <f>HLOOKUP($D$5,'4.9 Comptes 2020 par habitant'!$E$3:$BE$158,38,0)</f>
        <v>0</v>
      </c>
    </row>
    <row r="45" spans="2:5" x14ac:dyDescent="0.25">
      <c r="C45">
        <v>351</v>
      </c>
      <c r="D45" t="s">
        <v>108</v>
      </c>
      <c r="E45" s="89">
        <f>HLOOKUP($D$5,'4.9 Comptes 2020 par habitant'!$E$3:$BE$158,39,0)</f>
        <v>23.058017334777897</v>
      </c>
    </row>
    <row r="46" spans="2:5" x14ac:dyDescent="0.25">
      <c r="E46" s="4"/>
    </row>
    <row r="47" spans="2:5" x14ac:dyDescent="0.25">
      <c r="B47" s="94">
        <v>36</v>
      </c>
      <c r="C47" s="94"/>
      <c r="D47" s="94" t="s">
        <v>110</v>
      </c>
      <c r="E47" s="95">
        <f>SUM(E48:E55)</f>
        <v>2276.8306392199347</v>
      </c>
    </row>
    <row r="48" spans="2:5" x14ac:dyDescent="0.25">
      <c r="C48">
        <v>360</v>
      </c>
      <c r="D48" t="s">
        <v>111</v>
      </c>
      <c r="E48" s="89">
        <f>HLOOKUP($D$5,'4.9 Comptes 2020 par habitant'!$E$3:$BE$158,42,0)</f>
        <v>1.5277356446370529</v>
      </c>
    </row>
    <row r="49" spans="2:5" x14ac:dyDescent="0.25">
      <c r="C49">
        <v>361</v>
      </c>
      <c r="D49" t="s">
        <v>112</v>
      </c>
      <c r="E49" s="89">
        <f>HLOOKUP($D$5,'4.9 Comptes 2020 par habitant'!$E$3:$BE$158,43,0)</f>
        <v>1752.6000866738893</v>
      </c>
    </row>
    <row r="50" spans="2:5" x14ac:dyDescent="0.25">
      <c r="C50">
        <v>362</v>
      </c>
      <c r="D50" t="s">
        <v>113</v>
      </c>
      <c r="E50" s="89">
        <f>HLOOKUP($D$5,'4.9 Comptes 2020 par habitant'!$E$3:$BE$158,44,0)</f>
        <v>0</v>
      </c>
    </row>
    <row r="51" spans="2:5" x14ac:dyDescent="0.25">
      <c r="C51">
        <v>363</v>
      </c>
      <c r="D51" t="s">
        <v>114</v>
      </c>
      <c r="E51" s="89">
        <f>HLOOKUP($D$5,'4.9 Comptes 2020 par habitant'!$E$3:$BE$158,45,0)</f>
        <v>513.79057421451785</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8.9122426868905738</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346.69555796316359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346.69555796316359</v>
      </c>
    </row>
    <row r="67" spans="1:5" x14ac:dyDescent="0.25">
      <c r="E67" s="4"/>
    </row>
    <row r="68" spans="1:5" x14ac:dyDescent="0.25">
      <c r="B68" s="94">
        <v>39</v>
      </c>
      <c r="C68" s="94"/>
      <c r="D68" s="94" t="s">
        <v>128</v>
      </c>
      <c r="E68" s="95">
        <f>SUM(E69:E76)</f>
        <v>53.007583965330447</v>
      </c>
    </row>
    <row r="69" spans="1:5" x14ac:dyDescent="0.25">
      <c r="C69">
        <v>390</v>
      </c>
      <c r="D69" t="s">
        <v>129</v>
      </c>
      <c r="E69" s="89">
        <f>HLOOKUP($D$5,'4.9 Comptes 2020 par habitant'!$E$3:$BE$158,63,0)</f>
        <v>0</v>
      </c>
    </row>
    <row r="70" spans="1:5" x14ac:dyDescent="0.25">
      <c r="C70">
        <v>391</v>
      </c>
      <c r="D70" t="s">
        <v>130</v>
      </c>
      <c r="E70" s="89">
        <f>HLOOKUP($D$5,'4.9 Comptes 2020 par habitant'!$E$3:$BE$158,64,0)</f>
        <v>53.007583965330447</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3">
        <f>HLOOKUP($D$5,'4.9 Comptes 2020 par habitant'!$E$3:$BE$158,73,0)</f>
        <v>4725.6075622968583</v>
      </c>
    </row>
    <row r="80" spans="1:5" x14ac:dyDescent="0.25">
      <c r="A80" s="7"/>
      <c r="B80" s="96">
        <v>40</v>
      </c>
      <c r="C80" s="96"/>
      <c r="D80" s="96" t="s">
        <v>79</v>
      </c>
      <c r="E80" s="91">
        <f>SUM(E81:E84)</f>
        <v>3608.782936078007</v>
      </c>
    </row>
    <row r="81" spans="2:5" x14ac:dyDescent="0.25">
      <c r="C81">
        <v>400</v>
      </c>
      <c r="D81" t="s">
        <v>138</v>
      </c>
      <c r="E81" s="89">
        <f>HLOOKUP($D$5,'4.9 Comptes 2020 par habitant'!$E$3:$BE$158,75,0)</f>
        <v>2599.1880823401953</v>
      </c>
    </row>
    <row r="82" spans="2:5" x14ac:dyDescent="0.25">
      <c r="C82">
        <v>401</v>
      </c>
      <c r="D82" t="s">
        <v>139</v>
      </c>
      <c r="E82" s="89">
        <f>HLOOKUP($D$5,'4.9 Comptes 2020 par habitant'!$E$3:$BE$158,76,0)</f>
        <v>202.45260021668471</v>
      </c>
    </row>
    <row r="83" spans="2:5" x14ac:dyDescent="0.25">
      <c r="C83">
        <v>402</v>
      </c>
      <c r="D83" t="s">
        <v>140</v>
      </c>
      <c r="E83" s="89">
        <f>HLOOKUP($D$5,'4.9 Comptes 2020 par habitant'!$E$3:$BE$158,77,0)</f>
        <v>792.42118093174429</v>
      </c>
    </row>
    <row r="84" spans="2:5" x14ac:dyDescent="0.25">
      <c r="C84">
        <v>403</v>
      </c>
      <c r="D84" t="s">
        <v>141</v>
      </c>
      <c r="E84" s="89">
        <f>HLOOKUP($D$5,'4.9 Comptes 2020 par habitant'!$E$3:$BE$158,78,0)</f>
        <v>14.721072589382448</v>
      </c>
    </row>
    <row r="85" spans="2:5" x14ac:dyDescent="0.25">
      <c r="E85" s="4"/>
    </row>
    <row r="86" spans="2:5" x14ac:dyDescent="0.25">
      <c r="B86" s="96">
        <v>41</v>
      </c>
      <c r="C86" s="96"/>
      <c r="D86" s="96" t="s">
        <v>142</v>
      </c>
      <c r="E86" s="91">
        <f>SUM(E87:E90)</f>
        <v>0</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0</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697.63892741061761</v>
      </c>
    </row>
    <row r="93" spans="2:5" x14ac:dyDescent="0.25">
      <c r="C93">
        <v>420</v>
      </c>
      <c r="D93" t="s">
        <v>148</v>
      </c>
      <c r="E93" s="89">
        <f>HLOOKUP($D$5,'4.9 Comptes 2020 par habitant'!$E$3:$BE$158,87,0)</f>
        <v>39.122156013001081</v>
      </c>
    </row>
    <row r="94" spans="2:5" x14ac:dyDescent="0.25">
      <c r="C94">
        <v>421</v>
      </c>
      <c r="D94" t="s">
        <v>149</v>
      </c>
      <c r="E94" s="89">
        <f>HLOOKUP($D$5,'4.9 Comptes 2020 par habitant'!$E$3:$BE$158,88,0)</f>
        <v>12.885969664138678</v>
      </c>
    </row>
    <row r="95" spans="2:5" x14ac:dyDescent="0.25">
      <c r="C95">
        <v>422</v>
      </c>
      <c r="D95" t="s">
        <v>150</v>
      </c>
      <c r="E95" s="89">
        <f>HLOOKUP($D$5,'4.9 Comptes 2020 par habitant'!$E$3:$BE$158,89,0)</f>
        <v>0</v>
      </c>
    </row>
    <row r="96" spans="2:5" x14ac:dyDescent="0.25">
      <c r="C96">
        <v>423</v>
      </c>
      <c r="D96" t="s">
        <v>151</v>
      </c>
      <c r="E96" s="89">
        <f>HLOOKUP($D$5,'4.9 Comptes 2020 par habitant'!$E$3:$BE$158,90,0)</f>
        <v>4.4203683640303355</v>
      </c>
    </row>
    <row r="97" spans="2:5" x14ac:dyDescent="0.25">
      <c r="C97">
        <v>424</v>
      </c>
      <c r="D97" t="s">
        <v>152</v>
      </c>
      <c r="E97" s="89">
        <f>HLOOKUP($D$5,'4.9 Comptes 2020 par habitant'!$E$3:$BE$158,91,0)</f>
        <v>589.57237269772486</v>
      </c>
    </row>
    <row r="98" spans="2:5" x14ac:dyDescent="0.25">
      <c r="C98">
        <v>425</v>
      </c>
      <c r="D98" t="s">
        <v>153</v>
      </c>
      <c r="E98" s="89">
        <f>HLOOKUP($D$5,'4.9 Comptes 2020 par habitant'!$E$3:$BE$158,92,0)</f>
        <v>8.0440411700975076</v>
      </c>
    </row>
    <row r="99" spans="2:5" x14ac:dyDescent="0.25">
      <c r="C99">
        <v>426</v>
      </c>
      <c r="D99" t="s">
        <v>154</v>
      </c>
      <c r="E99" s="89">
        <f>HLOOKUP($D$5,'4.9 Comptes 2020 par habitant'!$E$3:$BE$158,93,0)</f>
        <v>43.35566630552546</v>
      </c>
    </row>
    <row r="100" spans="2:5" x14ac:dyDescent="0.25">
      <c r="C100">
        <v>427</v>
      </c>
      <c r="D100" t="s">
        <v>155</v>
      </c>
      <c r="E100" s="89">
        <f>HLOOKUP($D$5,'4.9 Comptes 2020 par habitant'!$E$3:$BE$158,94,0)</f>
        <v>0.23835319609967498</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HLOOKUP($D$5,'4.9 Comptes 2020 par habitant'!$E$3:$BE$158,98,0)</f>
        <v>0</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51.741224268689059</v>
      </c>
    </row>
    <row r="110" spans="2:5" x14ac:dyDescent="0.25">
      <c r="C110">
        <v>440</v>
      </c>
      <c r="D110" t="s">
        <v>163</v>
      </c>
      <c r="E110" s="89">
        <f>HLOOKUP($D$5,'4.9 Comptes 2020 par habitant'!$E$3:$BE$158,104,0)</f>
        <v>25.371939328277357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6.5113759479956665E-2</v>
      </c>
    </row>
    <row r="113" spans="2:5" x14ac:dyDescent="0.25">
      <c r="C113">
        <v>443</v>
      </c>
      <c r="D113" t="s">
        <v>166</v>
      </c>
      <c r="E113" s="89">
        <f>HLOOKUP($D$5,'4.9 Comptes 2020 par habitant'!$E$3:$BE$158,107,0)</f>
        <v>24.909534127843987</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1.3946370530877572</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2.8303900325027085</v>
      </c>
    </row>
    <row r="122" spans="2:5" x14ac:dyDescent="0.25">
      <c r="C122">
        <v>450</v>
      </c>
      <c r="D122" t="s">
        <v>172</v>
      </c>
      <c r="E122" s="89">
        <f>HLOOKUP($D$5,'4.9 Comptes 2020 par habitant'!$E$3:$BE$158,116,0)</f>
        <v>2.8303900325027085</v>
      </c>
    </row>
    <row r="123" spans="2:5" x14ac:dyDescent="0.25">
      <c r="C123">
        <v>451</v>
      </c>
      <c r="D123" t="s">
        <v>173</v>
      </c>
      <c r="E123" s="89">
        <f>HLOOKUP($D$5,'4.9 Comptes 2020 par habitant'!$E$3:$BE$158,117,0)</f>
        <v>0</v>
      </c>
    </row>
    <row r="124" spans="2:5" x14ac:dyDescent="0.25">
      <c r="E124" s="4"/>
    </row>
    <row r="125" spans="2:5" x14ac:dyDescent="0.25">
      <c r="B125" s="96">
        <v>46</v>
      </c>
      <c r="C125" s="96"/>
      <c r="D125" s="96" t="s">
        <v>175</v>
      </c>
      <c r="E125" s="91">
        <f>SUM(E126:E130)</f>
        <v>311.6065005417118</v>
      </c>
    </row>
    <row r="126" spans="2:5" x14ac:dyDescent="0.25">
      <c r="C126">
        <v>460</v>
      </c>
      <c r="D126" t="s">
        <v>176</v>
      </c>
      <c r="E126" s="89">
        <f>HLOOKUP($D$5,'4.9 Comptes 2020 par habitant'!$E$3:$BE$158,120,0)</f>
        <v>4.5319609967497287</v>
      </c>
    </row>
    <row r="127" spans="2:5" x14ac:dyDescent="0.25">
      <c r="C127">
        <v>461</v>
      </c>
      <c r="D127" t="s">
        <v>177</v>
      </c>
      <c r="E127" s="89">
        <f>HLOOKUP($D$5,'4.9 Comptes 2020 par habitant'!$E$3:$BE$158,121,0)</f>
        <v>157.79225352112675</v>
      </c>
    </row>
    <row r="128" spans="2:5" x14ac:dyDescent="0.25">
      <c r="C128">
        <v>462</v>
      </c>
      <c r="D128" t="s">
        <v>113</v>
      </c>
      <c r="E128" s="89">
        <f>HLOOKUP($D$5,'4.9 Comptes 2020 par habitant'!$E$3:$BE$158,122,0)</f>
        <v>101.02058504875406</v>
      </c>
    </row>
    <row r="129" spans="2:5" x14ac:dyDescent="0.25">
      <c r="C129">
        <v>463</v>
      </c>
      <c r="D129" t="s">
        <v>178</v>
      </c>
      <c r="E129" s="89">
        <f>HLOOKUP($D$5,'4.9 Comptes 2020 par habitant'!$E$3:$BE$158,123,0)</f>
        <v>48.048916576381366</v>
      </c>
    </row>
    <row r="130" spans="2:5" x14ac:dyDescent="0.25">
      <c r="C130">
        <v>469</v>
      </c>
      <c r="D130" t="s">
        <v>179</v>
      </c>
      <c r="E130" s="89">
        <f>HLOOKUP($D$5,'4.9 Comptes 2020 par habitant'!$E$3:$BE$158,124,0)</f>
        <v>0.21278439869989166</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53.007583965330447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53.007583965330447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366.27193932827737</v>
      </c>
    </row>
    <row r="158" spans="1:5" x14ac:dyDescent="0.25">
      <c r="C158">
        <v>900</v>
      </c>
      <c r="D158" t="s">
        <v>196</v>
      </c>
      <c r="E158" s="89">
        <f>HLOOKUP($D$5,'4.9 Comptes 2020 par habitant'!$E$3:$BE$158,152,0)</f>
        <v>6.5169555796316354</v>
      </c>
    </row>
    <row r="159" spans="1:5" x14ac:dyDescent="0.25">
      <c r="C159">
        <v>901</v>
      </c>
      <c r="D159" t="s">
        <v>197</v>
      </c>
      <c r="E159" s="89">
        <f>HLOOKUP($D$5,'4.9 Comptes 2020 par habitant'!$E$3:$BE$158,153,0)</f>
        <v>359.75498374864571</v>
      </c>
    </row>
    <row r="160" spans="1:5" x14ac:dyDescent="0.25">
      <c r="E160" s="4"/>
    </row>
    <row r="161" spans="4:5" x14ac:dyDescent="0.25">
      <c r="D161" s="7" t="s">
        <v>198</v>
      </c>
      <c r="E161" s="80">
        <f>HLOOKUP($D$5,'4.9 Comptes 2020 par habitant'!$E$3:$BE$158,155,0)</f>
        <v>366.27193932827737</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5.1 Bilan</vt:lpstr>
      <vt:lpstr>5.3 Bilan par commune</vt:lpstr>
      <vt:lpstr>5.2 Tableau bilan</vt:lpstr>
      <vt:lpstr>5.1.2Graphique capitaux propres</vt:lpstr>
      <vt:lpstr>5.4 Tableau de l'endettement</vt:lpstr>
      <vt:lpstr>5.4.1Graphique de l'endettement</vt:lpstr>
      <vt:lpstr>5.5 Endettement par commune</vt:lpstr>
      <vt:lpstr>6. Investissements</vt:lpstr>
      <vt:lpstr>6.1 Investissements par commune</vt:lpstr>
      <vt:lpstr>Définition des indicateurs</vt:lpstr>
      <vt:lpstr>Base de données indicateurs1</vt:lpstr>
      <vt:lpstr>Endett. net + degré d'auto.</vt:lpstr>
      <vt:lpstr>Quotité d'intéret + revenus det</vt:lpstr>
      <vt:lpstr>Quotité d'invest + fin.</vt:lpstr>
      <vt:lpstr>Quotité d'autofinancement</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2022-06-14T05:48:38Z</dcterms:modified>
</cp:coreProperties>
</file>