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workbookProtection workbookPassword="CEF2" lockStructure="1"/>
  <bookViews>
    <workbookView xWindow="0" yWindow="0" windowWidth="28800" windowHeight="12375" firstSheet="26" activeTab="26"/>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 Bilan" sheetId="24" state="hidden" r:id="rId20"/>
    <sheet name="5.3 Bilan par commune" sheetId="51" state="hidden" r:id="rId21"/>
    <sheet name="5.2 Tableau bilan" sheetId="31" state="hidden" r:id="rId22"/>
    <sheet name="5.1.2Graphique capitaux propres" sheetId="83" state="hidden" r:id="rId23"/>
    <sheet name="5.4 Tableau de l'endettement" sheetId="32" state="hidden" r:id="rId24"/>
    <sheet name="5.4.1Graphique de l'endettement" sheetId="82" state="hidden" r:id="rId25"/>
    <sheet name="5.5 Endettement par commune" sheetId="52" state="hidden" r:id="rId26"/>
    <sheet name="6.1 Investissements" sheetId="34" r:id="rId27"/>
    <sheet name="6.2 Investissements par commune" sheetId="53" state="hidden" r:id="rId28"/>
    <sheet name="Définition des indicateurs" sheetId="54" state="hidden" r:id="rId29"/>
    <sheet name="Base de données indicateurs1" sheetId="42" state="hidden" r:id="rId30"/>
    <sheet name="Endett. net + degré d'auto." sheetId="35" state="hidden" r:id="rId31"/>
    <sheet name="Quotité d'intéret + revenus det" sheetId="36" state="hidden" r:id="rId32"/>
    <sheet name="Quotité d'invest + fin." sheetId="37" state="hidden"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41" i="37" s="1"/>
  <c r="N39" i="37"/>
  <c r="N36" i="36"/>
  <c r="N15" i="40" s="1"/>
  <c r="AT48" i="38"/>
  <c r="AT41" i="40" s="1"/>
  <c r="AT39" i="37"/>
  <c r="AT36" i="36"/>
  <c r="AT15" i="40" s="1"/>
  <c r="R48" i="38"/>
  <c r="R41" i="40" s="1"/>
  <c r="R39" i="37"/>
  <c r="R36" i="36"/>
  <c r="R15" i="40" s="1"/>
  <c r="AX48" i="38"/>
  <c r="AX41" i="40" s="1"/>
  <c r="AX39" i="37"/>
  <c r="AX36" i="36"/>
  <c r="AX15" i="40" s="1"/>
  <c r="BE48" i="38"/>
  <c r="BE41" i="40" s="1"/>
  <c r="BE39" i="37"/>
  <c r="BE36" i="36"/>
  <c r="BE15" i="40" s="1"/>
  <c r="V48" i="38"/>
  <c r="V41" i="40" s="1"/>
  <c r="V39" i="37"/>
  <c r="V36" i="36"/>
  <c r="V15" i="40" s="1"/>
  <c r="T48" i="38"/>
  <c r="T41" i="40" s="1"/>
  <c r="T36" i="36"/>
  <c r="T15" i="40" s="1"/>
  <c r="BC48" i="38"/>
  <c r="BC41" i="40" s="1"/>
  <c r="BC39" i="37"/>
  <c r="BC36" i="36"/>
  <c r="BC15" i="40" s="1"/>
  <c r="BB48" i="38"/>
  <c r="BB41" i="40" s="1"/>
  <c r="BB39" i="37"/>
  <c r="BB36" i="36"/>
  <c r="BB15" i="40" s="1"/>
  <c r="AZ48" i="38"/>
  <c r="AZ41" i="40" s="1"/>
  <c r="AZ36" i="36"/>
  <c r="AZ15" i="40" s="1"/>
  <c r="AY48" i="38"/>
  <c r="AY41" i="40" s="1"/>
  <c r="AY39" i="37"/>
  <c r="AY36" i="36"/>
  <c r="AY15" i="40" s="1"/>
  <c r="AW48" i="38"/>
  <c r="AW41" i="40" s="1"/>
  <c r="AW39" i="37"/>
  <c r="AW36" i="36"/>
  <c r="AW15" i="40" s="1"/>
  <c r="AV48" i="38"/>
  <c r="AV41" i="40" s="1"/>
  <c r="AV36" i="36"/>
  <c r="AV15" i="40" s="1"/>
  <c r="AS48" i="38"/>
  <c r="AS41" i="40" s="1"/>
  <c r="AS39" i="37"/>
  <c r="AS36" i="36"/>
  <c r="AS15" i="40" s="1"/>
  <c r="AQ48" i="38"/>
  <c r="AQ41" i="40" s="1"/>
  <c r="AQ39" i="37"/>
  <c r="AQ36" i="36"/>
  <c r="AQ15" i="40" s="1"/>
  <c r="AP48" i="38"/>
  <c r="AP41" i="40" s="1"/>
  <c r="AP39" i="37"/>
  <c r="AP36" i="36"/>
  <c r="AP15" i="40" s="1"/>
  <c r="AO48" i="38"/>
  <c r="AO41" i="40" s="1"/>
  <c r="AO39" i="37"/>
  <c r="AO36" i="36"/>
  <c r="AO15" i="40" s="1"/>
  <c r="AN48" i="38"/>
  <c r="AN41" i="40" s="1"/>
  <c r="AN36" i="36"/>
  <c r="AN15" i="40" s="1"/>
  <c r="AM48" i="38"/>
  <c r="AM41" i="40" s="1"/>
  <c r="AM39" i="37"/>
  <c r="AM36" i="36"/>
  <c r="AM15" i="40" s="1"/>
  <c r="AL48" i="38"/>
  <c r="AL41" i="40" s="1"/>
  <c r="AL39" i="37"/>
  <c r="AL36" i="36"/>
  <c r="AL15" i="40" s="1"/>
  <c r="AJ48" i="38"/>
  <c r="AJ41" i="40" s="1"/>
  <c r="AJ36" i="36"/>
  <c r="AJ15" i="40" s="1"/>
  <c r="AI48" i="38"/>
  <c r="AI41" i="40" s="1"/>
  <c r="AI39" i="37"/>
  <c r="AI36" i="36"/>
  <c r="AI15" i="40" s="1"/>
  <c r="AH48" i="38"/>
  <c r="AH41" i="40" s="1"/>
  <c r="AH39" i="37"/>
  <c r="AH36" i="36"/>
  <c r="AH15" i="40" s="1"/>
  <c r="AG48" i="38"/>
  <c r="AG41" i="40" s="1"/>
  <c r="AG39" i="37"/>
  <c r="AG36" i="36"/>
  <c r="AG15" i="40" s="1"/>
  <c r="AF48" i="38"/>
  <c r="AF41" i="40" s="1"/>
  <c r="AF36" i="36"/>
  <c r="AF15" i="40" s="1"/>
  <c r="AB48" i="38"/>
  <c r="AB41" i="40" s="1"/>
  <c r="AB36" i="36"/>
  <c r="AB15" i="40" s="1"/>
  <c r="BF18" i="36"/>
  <c r="J48" i="38"/>
  <c r="J41" i="40" s="1"/>
  <c r="J39" i="37"/>
  <c r="J36" i="36"/>
  <c r="J15" i="40" s="1"/>
  <c r="AE48" i="38"/>
  <c r="AE41" i="40" s="1"/>
  <c r="AE39" i="37"/>
  <c r="AE36" i="36"/>
  <c r="AE15" i="40" s="1"/>
  <c r="AC48" i="38"/>
  <c r="AC41" i="40" s="1"/>
  <c r="AC39" i="37"/>
  <c r="AC36" i="36"/>
  <c r="AC15" i="40" s="1"/>
  <c r="AA48" i="38"/>
  <c r="AA41" i="40" s="1"/>
  <c r="AA39" i="37"/>
  <c r="AA36" i="36"/>
  <c r="AA15" i="40" s="1"/>
  <c r="Y48" i="38"/>
  <c r="Y41" i="40" s="1"/>
  <c r="Y39" i="37"/>
  <c r="Y36" i="36"/>
  <c r="Y15" i="40" s="1"/>
  <c r="D36" i="43"/>
  <c r="U48" i="38"/>
  <c r="U41" i="40" s="1"/>
  <c r="U39" i="37"/>
  <c r="U36" i="36"/>
  <c r="U15" i="40" s="1"/>
  <c r="AU48" i="38"/>
  <c r="AU41" i="40" s="1"/>
  <c r="AU39" i="37"/>
  <c r="AU36" i="36"/>
  <c r="AU15" i="40" s="1"/>
  <c r="S48" i="38"/>
  <c r="S41" i="40" s="1"/>
  <c r="S39" i="37"/>
  <c r="S36" i="36"/>
  <c r="S15" i="40" s="1"/>
  <c r="W48" i="38"/>
  <c r="W41" i="40" s="1"/>
  <c r="BF42" i="38"/>
  <c r="W39" i="37"/>
  <c r="W36" i="36"/>
  <c r="W15" i="40" s="1"/>
  <c r="AD48" i="38"/>
  <c r="AD41" i="40" s="1"/>
  <c r="AD39" i="37"/>
  <c r="BG14" i="39"/>
  <c r="AD36" i="36"/>
  <c r="AD15" i="40" s="1"/>
  <c r="Q48" i="38"/>
  <c r="Q41" i="40" s="1"/>
  <c r="Q39" i="37"/>
  <c r="Q36" i="36"/>
  <c r="Q15" i="40" s="1"/>
  <c r="P48" i="38"/>
  <c r="P41" i="40" s="1"/>
  <c r="P36" i="36"/>
  <c r="P15" i="40" s="1"/>
  <c r="H48" i="38"/>
  <c r="H41" i="40" s="1"/>
  <c r="BF32" i="37"/>
  <c r="H36" i="36"/>
  <c r="H15" i="40" s="1"/>
  <c r="BF31" i="36"/>
  <c r="K48" i="38"/>
  <c r="K41" i="40" s="1"/>
  <c r="K39" i="37"/>
  <c r="K36" i="36"/>
  <c r="K15" i="40" s="1"/>
  <c r="G48" i="38"/>
  <c r="G41" i="40" s="1"/>
  <c r="G39" i="37"/>
  <c r="BF33" i="38"/>
  <c r="G36" i="36"/>
  <c r="G15" i="40" s="1"/>
  <c r="BF21" i="36"/>
  <c r="I48" i="38"/>
  <c r="I41" i="40" s="1"/>
  <c r="I39" i="37"/>
  <c r="BF12" i="36"/>
  <c r="BF32" i="36"/>
  <c r="I36" i="36"/>
  <c r="I15" i="40" s="1"/>
  <c r="BD48" i="38"/>
  <c r="BD41" i="40" s="1"/>
  <c r="BD36" i="36"/>
  <c r="BD15" i="40" s="1"/>
  <c r="BF13" i="36"/>
  <c r="L48" i="38"/>
  <c r="L41" i="40" s="1"/>
  <c r="BF19" i="37"/>
  <c r="L36" i="36"/>
  <c r="L15" i="40" s="1"/>
  <c r="BF20" i="36"/>
  <c r="BF38" i="38"/>
  <c r="BF36" i="38"/>
  <c r="F48" i="38"/>
  <c r="F41" i="40" s="1"/>
  <c r="BF34" i="38"/>
  <c r="BF43" i="38"/>
  <c r="BF36" i="37"/>
  <c r="F39" i="37"/>
  <c r="BF34" i="37"/>
  <c r="BF14" i="39"/>
  <c r="F36" i="36"/>
  <c r="F15" i="40" s="1"/>
  <c r="BF34" i="36"/>
  <c r="BF19" i="36"/>
  <c r="BF37" i="38"/>
  <c r="BF35" i="38"/>
  <c r="M48" i="38"/>
  <c r="M41" i="40" s="1"/>
  <c r="M39" i="37"/>
  <c r="M36" i="36"/>
  <c r="M15" i="40" s="1"/>
  <c r="D18" i="43" s="1"/>
  <c r="BF12" i="38"/>
  <c r="BA48" i="38"/>
  <c r="BA41" i="40" s="1"/>
  <c r="BA39" i="37"/>
  <c r="BA36" i="36"/>
  <c r="BA15" i="40" s="1"/>
  <c r="O48" i="38"/>
  <c r="O41" i="40" s="1"/>
  <c r="BF44" i="38"/>
  <c r="BF17" i="36"/>
  <c r="O39" i="37"/>
  <c r="O36" i="36"/>
  <c r="O15" i="40" s="1"/>
  <c r="O15" i="38"/>
  <c r="BF13" i="38"/>
  <c r="AR48" i="38"/>
  <c r="AR41" i="40" s="1"/>
  <c r="BH14" i="39"/>
  <c r="AR36" i="36"/>
  <c r="AR15" i="40" s="1"/>
  <c r="Z48" i="38"/>
  <c r="Z41" i="40" s="1"/>
  <c r="Z39" i="37"/>
  <c r="Z36" i="36"/>
  <c r="Z15" i="40" s="1"/>
  <c r="E15" i="36"/>
  <c r="BF15" i="36" s="1"/>
  <c r="E23" i="36"/>
  <c r="BF33" i="36"/>
  <c r="E36" i="36"/>
  <c r="E15" i="40" s="1"/>
  <c r="BD26" i="38"/>
  <c r="BD41" i="37"/>
  <c r="BD38" i="36"/>
  <c r="BD40" i="36" s="1"/>
  <c r="BD31" i="40" s="1"/>
  <c r="BD25" i="36"/>
  <c r="BD29" i="40" s="1"/>
  <c r="BB26" i="38"/>
  <c r="BB41" i="37"/>
  <c r="BB38" i="36"/>
  <c r="BB25" i="36"/>
  <c r="BB29" i="40" s="1"/>
  <c r="AZ26" i="38"/>
  <c r="AZ41" i="37"/>
  <c r="AZ38" i="36"/>
  <c r="AZ25" i="36"/>
  <c r="AZ29" i="40" s="1"/>
  <c r="AX26" i="38"/>
  <c r="AX41" i="37"/>
  <c r="AX38" i="36"/>
  <c r="AX25" i="36"/>
  <c r="AX29" i="40" s="1"/>
  <c r="AV26" i="38"/>
  <c r="AV41" i="37"/>
  <c r="AV38" i="36"/>
  <c r="AV25" i="36"/>
  <c r="AV29" i="40" s="1"/>
  <c r="AT26" i="38"/>
  <c r="AT41" i="37"/>
  <c r="AT38" i="36"/>
  <c r="AT25" i="36"/>
  <c r="AT29" i="40" s="1"/>
  <c r="AR26" i="38"/>
  <c r="AR41" i="37"/>
  <c r="AR38" i="36"/>
  <c r="AR40" i="36" s="1"/>
  <c r="AR31" i="40" s="1"/>
  <c r="AR25" i="36"/>
  <c r="AR29" i="40" s="1"/>
  <c r="AP26" i="38"/>
  <c r="AP41" i="37"/>
  <c r="AP43" i="37" s="1"/>
  <c r="AP35" i="40" s="1"/>
  <c r="AP38" i="36"/>
  <c r="AP40" i="36" s="1"/>
  <c r="AP31" i="40" s="1"/>
  <c r="AP25" i="36"/>
  <c r="AP29" i="40" s="1"/>
  <c r="AN26" i="38"/>
  <c r="AN41" i="37"/>
  <c r="AN38" i="36"/>
  <c r="AN25" i="36"/>
  <c r="AN29" i="40" s="1"/>
  <c r="AL26" i="38"/>
  <c r="AL41" i="37"/>
  <c r="AL38" i="36"/>
  <c r="AL25" i="36"/>
  <c r="AL29" i="40" s="1"/>
  <c r="AJ41" i="37"/>
  <c r="AJ25" i="36"/>
  <c r="AJ29" i="40" s="1"/>
  <c r="AH26" i="38"/>
  <c r="AH41" i="37"/>
  <c r="AH38" i="36"/>
  <c r="AH25" i="36"/>
  <c r="AH29" i="40" s="1"/>
  <c r="AF26" i="38"/>
  <c r="AF41" i="37"/>
  <c r="AF38" i="36"/>
  <c r="AF40" i="36" s="1"/>
  <c r="AF31" i="40" s="1"/>
  <c r="AF25" i="36"/>
  <c r="AF29" i="40" s="1"/>
  <c r="AD26" i="38"/>
  <c r="AD41" i="37"/>
  <c r="AD38" i="36"/>
  <c r="AD40" i="36" s="1"/>
  <c r="AD31" i="40" s="1"/>
  <c r="AD25" i="36"/>
  <c r="AD29" i="40" s="1"/>
  <c r="AB26" i="38"/>
  <c r="AB41" i="37"/>
  <c r="AB38" i="36"/>
  <c r="AB40" i="36" s="1"/>
  <c r="AB31" i="40" s="1"/>
  <c r="AB25" i="36"/>
  <c r="AB29" i="40" s="1"/>
  <c r="Z26" i="38"/>
  <c r="Z41" i="37"/>
  <c r="Z38" i="36"/>
  <c r="Z25" i="36"/>
  <c r="Z29" i="40" s="1"/>
  <c r="V26" i="38"/>
  <c r="V41" i="37"/>
  <c r="V38" i="36"/>
  <c r="V25" i="36"/>
  <c r="V29" i="40" s="1"/>
  <c r="T26" i="38"/>
  <c r="T41" i="37"/>
  <c r="T38" i="36"/>
  <c r="T25" i="36"/>
  <c r="T29" i="40" s="1"/>
  <c r="R26" i="38"/>
  <c r="R41" i="37"/>
  <c r="R43" i="37" s="1"/>
  <c r="R35" i="40" s="1"/>
  <c r="R38" i="36"/>
  <c r="R40" i="36" s="1"/>
  <c r="R31" i="40" s="1"/>
  <c r="R25" i="36"/>
  <c r="R29" i="40" s="1"/>
  <c r="P26" i="38"/>
  <c r="P41" i="37"/>
  <c r="P38" i="36"/>
  <c r="P25" i="36"/>
  <c r="P29" i="40" s="1"/>
  <c r="N26" i="38"/>
  <c r="N28" i="38" s="1"/>
  <c r="N39" i="40" s="1"/>
  <c r="N41" i="37"/>
  <c r="N43" i="37" s="1"/>
  <c r="N35" i="40" s="1"/>
  <c r="N38" i="36"/>
  <c r="N40" i="36" s="1"/>
  <c r="N31" i="40" s="1"/>
  <c r="N25" i="36"/>
  <c r="N29" i="40" s="1"/>
  <c r="L26" i="38"/>
  <c r="L41" i="37"/>
  <c r="L38" i="36"/>
  <c r="L40" i="36" s="1"/>
  <c r="L31" i="40" s="1"/>
  <c r="L25" i="36"/>
  <c r="L29" i="40" s="1"/>
  <c r="J26" i="38"/>
  <c r="J41" i="37"/>
  <c r="J43" i="37" s="1"/>
  <c r="J35" i="40" s="1"/>
  <c r="J38" i="36"/>
  <c r="J40" i="36" s="1"/>
  <c r="J31" i="40" s="1"/>
  <c r="J25" i="36"/>
  <c r="J29" i="40" s="1"/>
  <c r="H26" i="38"/>
  <c r="H41" i="37"/>
  <c r="H38" i="36"/>
  <c r="H40" i="36" s="1"/>
  <c r="H31" i="40" s="1"/>
  <c r="H25" i="36"/>
  <c r="H29" i="40" s="1"/>
  <c r="F26" i="38"/>
  <c r="F41" i="37"/>
  <c r="F38" i="36"/>
  <c r="F25" i="36"/>
  <c r="F29" i="40" s="1"/>
  <c r="BH12" i="36"/>
  <c r="AK15" i="36"/>
  <c r="BH15" i="36" s="1"/>
  <c r="BE26" i="38"/>
  <c r="BE41" i="37"/>
  <c r="BE43" i="37" s="1"/>
  <c r="BE35" i="40" s="1"/>
  <c r="BE38" i="36"/>
  <c r="BE40" i="36" s="1"/>
  <c r="BE31" i="40" s="1"/>
  <c r="BE25" i="36"/>
  <c r="BE29" i="40" s="1"/>
  <c r="BC26" i="38"/>
  <c r="BC41" i="37"/>
  <c r="BC43" i="37" s="1"/>
  <c r="BC35" i="40" s="1"/>
  <c r="BC38" i="36"/>
  <c r="BC40" i="36" s="1"/>
  <c r="BC31" i="40" s="1"/>
  <c r="BC25" i="36"/>
  <c r="BC29" i="40" s="1"/>
  <c r="BA26" i="38"/>
  <c r="BA41" i="37"/>
  <c r="BA43" i="37" s="1"/>
  <c r="BA35" i="40" s="1"/>
  <c r="BA38" i="36"/>
  <c r="BA40" i="36" s="1"/>
  <c r="BA31" i="40" s="1"/>
  <c r="BA25" i="36"/>
  <c r="BA29" i="40" s="1"/>
  <c r="AY26" i="38"/>
  <c r="AY41" i="37"/>
  <c r="AY43" i="37" s="1"/>
  <c r="AY35" i="40" s="1"/>
  <c r="AY38" i="36"/>
  <c r="AY40" i="36" s="1"/>
  <c r="AY31" i="40" s="1"/>
  <c r="AY25" i="36"/>
  <c r="AY29" i="40" s="1"/>
  <c r="AW26" i="38"/>
  <c r="AW41" i="37"/>
  <c r="AW38" i="36"/>
  <c r="AW25" i="36"/>
  <c r="AW29" i="40" s="1"/>
  <c r="AU26" i="38"/>
  <c r="AU41" i="37"/>
  <c r="AU38" i="36"/>
  <c r="AU25" i="36"/>
  <c r="AU29" i="40" s="1"/>
  <c r="AS26" i="38"/>
  <c r="AS41" i="37"/>
  <c r="AS43" i="37" s="1"/>
  <c r="AS35" i="40" s="1"/>
  <c r="AS38" i="36"/>
  <c r="AS40" i="36" s="1"/>
  <c r="AS31" i="40" s="1"/>
  <c r="AS25" i="36"/>
  <c r="AS29" i="40" s="1"/>
  <c r="AQ26" i="38"/>
  <c r="AQ41" i="37"/>
  <c r="AQ38" i="36"/>
  <c r="AQ25" i="36"/>
  <c r="AQ29" i="40" s="1"/>
  <c r="AO26" i="38"/>
  <c r="AO41" i="37"/>
  <c r="AO38" i="36"/>
  <c r="AO25" i="36"/>
  <c r="AO29" i="40" s="1"/>
  <c r="AM26" i="38"/>
  <c r="AM41" i="37"/>
  <c r="AM43" i="37" s="1"/>
  <c r="AM35" i="40" s="1"/>
  <c r="AM38" i="36"/>
  <c r="AM40" i="36" s="1"/>
  <c r="AM31" i="40" s="1"/>
  <c r="AM25" i="36"/>
  <c r="AM29" i="40" s="1"/>
  <c r="AI26" i="38"/>
  <c r="AI38" i="36"/>
  <c r="AI40" i="36" s="1"/>
  <c r="AI31" i="40" s="1"/>
  <c r="AG26" i="38"/>
  <c r="AG41" i="37"/>
  <c r="AG43" i="37" s="1"/>
  <c r="AG35" i="40" s="1"/>
  <c r="AG38" i="36"/>
  <c r="AG40" i="36" s="1"/>
  <c r="AG31" i="40" s="1"/>
  <c r="AG25" i="36"/>
  <c r="AG29" i="40" s="1"/>
  <c r="AE26" i="38"/>
  <c r="AE41" i="37"/>
  <c r="AE38" i="36"/>
  <c r="AE25" i="36"/>
  <c r="AE29" i="40" s="1"/>
  <c r="AC26" i="38"/>
  <c r="AC41" i="37"/>
  <c r="AC43" i="37" s="1"/>
  <c r="AC35" i="40" s="1"/>
  <c r="AC38" i="36"/>
  <c r="AC40" i="36" s="1"/>
  <c r="AC31" i="40" s="1"/>
  <c r="AC25" i="36"/>
  <c r="AC29" i="40" s="1"/>
  <c r="AA26" i="38"/>
  <c r="AA41" i="37"/>
  <c r="AA38" i="36"/>
  <c r="AA25" i="36"/>
  <c r="AA29" i="40" s="1"/>
  <c r="Y26" i="38"/>
  <c r="Y41" i="37"/>
  <c r="Y43" i="37" s="1"/>
  <c r="Y35" i="40" s="1"/>
  <c r="Y38" i="36"/>
  <c r="Y40" i="36" s="1"/>
  <c r="Y31" i="40" s="1"/>
  <c r="Y25" i="36"/>
  <c r="Y29" i="40" s="1"/>
  <c r="W26" i="38"/>
  <c r="W41" i="37"/>
  <c r="W43" i="37" s="1"/>
  <c r="W35" i="40" s="1"/>
  <c r="W38" i="36"/>
  <c r="W40" i="36" s="1"/>
  <c r="W31" i="40" s="1"/>
  <c r="W25" i="36"/>
  <c r="W29" i="40" s="1"/>
  <c r="U26" i="38"/>
  <c r="U41" i="37"/>
  <c r="U43" i="37" s="1"/>
  <c r="U35" i="40" s="1"/>
  <c r="U38" i="36"/>
  <c r="U40" i="36" s="1"/>
  <c r="U31" i="40" s="1"/>
  <c r="U25" i="36"/>
  <c r="U29" i="40" s="1"/>
  <c r="S26" i="38"/>
  <c r="S41" i="37"/>
  <c r="S43" i="37" s="1"/>
  <c r="S35" i="40" s="1"/>
  <c r="S38" i="36"/>
  <c r="S40" i="36" s="1"/>
  <c r="S31" i="40" s="1"/>
  <c r="S25" i="36"/>
  <c r="S29" i="40" s="1"/>
  <c r="Q26" i="38"/>
  <c r="Q41" i="37"/>
  <c r="Q38" i="36"/>
  <c r="Q25" i="36"/>
  <c r="Q29" i="40" s="1"/>
  <c r="O26" i="38"/>
  <c r="O41" i="37"/>
  <c r="O38" i="36"/>
  <c r="O25" i="36"/>
  <c r="O29" i="40" s="1"/>
  <c r="M26" i="38"/>
  <c r="M41" i="37"/>
  <c r="M43" i="37" s="1"/>
  <c r="M35" i="40" s="1"/>
  <c r="M38" i="36"/>
  <c r="M40" i="36" s="1"/>
  <c r="M31" i="40" s="1"/>
  <c r="D34" i="43" s="1"/>
  <c r="M25" i="36"/>
  <c r="M29" i="40" s="1"/>
  <c r="K26" i="38"/>
  <c r="K41" i="37"/>
  <c r="K43" i="37" s="1"/>
  <c r="K35" i="40" s="1"/>
  <c r="K38" i="36"/>
  <c r="K40" i="36" s="1"/>
  <c r="K31" i="40" s="1"/>
  <c r="K25" i="36"/>
  <c r="K29" i="40" s="1"/>
  <c r="I26" i="38"/>
  <c r="I41" i="37"/>
  <c r="I43" i="37" s="1"/>
  <c r="I35" i="40" s="1"/>
  <c r="I38" i="36"/>
  <c r="I40" i="36" s="1"/>
  <c r="I31" i="40" s="1"/>
  <c r="I25" i="36"/>
  <c r="I29" i="40" s="1"/>
  <c r="G26"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15"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6" i="38"/>
  <c r="AK41" i="37"/>
  <c r="AK38" i="36"/>
  <c r="AK25" i="36"/>
  <c r="AK29" i="40" s="1"/>
  <c r="BH29" i="40" s="1"/>
  <c r="BG23" i="36"/>
  <c r="BG25" i="36" s="1"/>
  <c r="X26" i="38"/>
  <c r="X41" i="37"/>
  <c r="X38" i="36"/>
  <c r="X25" i="36"/>
  <c r="X29" i="40" s="1"/>
  <c r="BG29" i="40" s="1"/>
  <c r="BF36" i="36"/>
  <c r="BF15" i="40"/>
  <c r="BF23" i="36"/>
  <c r="BF25" i="36" s="1"/>
  <c r="E26"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6" i="38"/>
  <c r="BG48" i="38" s="1"/>
  <c r="X48" i="38"/>
  <c r="X41" i="40" s="1"/>
  <c r="BG41" i="40" s="1"/>
  <c r="BH46" i="38"/>
  <c r="BH48" i="38" s="1"/>
  <c r="AK48" i="38"/>
  <c r="AK41" i="40" s="1"/>
  <c r="BH41" i="40" s="1"/>
  <c r="BF46" i="38"/>
  <c r="BF48" i="38" s="1"/>
  <c r="E48"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24" i="38"/>
  <c r="BG24" i="38" s="1"/>
  <c r="X16" i="39"/>
  <c r="BG22" i="35"/>
  <c r="BG24" i="35" s="1"/>
  <c r="X24" i="35"/>
  <c r="X19" i="40" s="1"/>
  <c r="BG19" i="40" s="1"/>
  <c r="AK24" i="40"/>
  <c r="BH24" i="40" s="1"/>
  <c r="BH41" i="35"/>
  <c r="AK24" i="38"/>
  <c r="BH24" i="38" s="1"/>
  <c r="BG24" i="40"/>
  <c r="BF43" i="37"/>
  <c r="BF38" i="36"/>
  <c r="BF40" i="36" s="1"/>
  <c r="E40" i="36"/>
  <c r="E31" i="40" s="1"/>
  <c r="BF31" i="40" s="1"/>
  <c r="BF26" i="38"/>
  <c r="E28" i="38"/>
  <c r="E39" i="40" s="1"/>
  <c r="BG41" i="37"/>
  <c r="BG43" i="37" s="1"/>
  <c r="X43" i="37"/>
  <c r="X35" i="40" s="1"/>
  <c r="BG35" i="40" s="1"/>
  <c r="BH38" i="36"/>
  <c r="BH40" i="36" s="1"/>
  <c r="AK40" i="36"/>
  <c r="AK31" i="40" s="1"/>
  <c r="BH31" i="40" s="1"/>
  <c r="BH26" i="38"/>
  <c r="AK28" i="38"/>
  <c r="AK39" i="40" s="1"/>
  <c r="BH39" i="40" s="1"/>
  <c r="BG38" i="36"/>
  <c r="BG40" i="36" s="1"/>
  <c r="X40" i="36"/>
  <c r="X31" i="40" s="1"/>
  <c r="BG31" i="40" s="1"/>
  <c r="BG26" i="38"/>
  <c r="AK43" i="37"/>
  <c r="AK35" i="40" s="1"/>
  <c r="BH35" i="40" s="1"/>
  <c r="BH41" i="37"/>
  <c r="BH43" i="37" s="1"/>
  <c r="C55" i="13"/>
  <c r="BH24" i="35" l="1"/>
  <c r="BG28" i="38"/>
  <c r="X28" i="38"/>
  <c r="X39" i="40" s="1"/>
  <c r="BG39" i="40" s="1"/>
  <c r="BG48" i="35"/>
  <c r="BH48" i="35"/>
  <c r="D30" i="43"/>
  <c r="D28" i="43"/>
  <c r="BF24" i="38"/>
  <c r="F28" i="38"/>
  <c r="F39" i="40" s="1"/>
  <c r="BF48" i="35"/>
  <c r="BH28" i="38"/>
  <c r="F18" i="39"/>
  <c r="F43" i="40" s="1"/>
  <c r="BF43" i="40" s="1"/>
  <c r="BF16" i="39"/>
  <c r="BF18" i="39" s="1"/>
  <c r="BF28"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12"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12" i="38" s="1"/>
  <c r="BF39" i="40" l="1"/>
  <c r="D42" i="43"/>
  <c r="D36" i="37"/>
  <c r="D35" i="35"/>
  <c r="D30" i="35"/>
  <c r="D19" i="35"/>
  <c r="D33" i="37"/>
  <c r="D18" i="35"/>
  <c r="D17" i="35"/>
  <c r="D37" i="37"/>
  <c r="D36" i="35"/>
  <c r="D32" i="37"/>
  <c r="D31" i="35"/>
  <c r="D20" i="36"/>
  <c r="D13" i="36"/>
  <c r="D34" i="35"/>
  <c r="D35" i="37"/>
  <c r="D17" i="37"/>
  <c r="D12" i="35"/>
  <c r="BI61" i="42"/>
  <c r="BH61" i="42"/>
  <c r="BG61" i="42"/>
  <c r="BF61" i="42"/>
  <c r="D44"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9" i="37"/>
  <c r="D23" i="36"/>
  <c r="D15" i="36"/>
  <c r="D46" i="35"/>
  <c r="D41" i="35"/>
  <c r="D24" i="38" s="1"/>
  <c r="D22" i="35"/>
  <c r="D16" i="39" s="1"/>
  <c r="D15" i="35"/>
  <c r="D17" i="40" s="1"/>
  <c r="D26" i="38" l="1"/>
  <c r="D41" i="37"/>
  <c r="D43" i="37" s="1"/>
  <c r="D35" i="40" s="1"/>
  <c r="D48" i="35"/>
  <c r="D26" i="40" s="1"/>
  <c r="D18" i="39"/>
  <c r="D43" i="40" s="1"/>
  <c r="D24" i="35"/>
  <c r="D19" i="40" s="1"/>
  <c r="D24" i="40"/>
  <c r="D28" i="38"/>
  <c r="D39" i="40" s="1"/>
  <c r="D36" i="36"/>
  <c r="D15" i="40" s="1"/>
  <c r="D24" i="37"/>
  <c r="D26"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2" i="81" s="1"/>
  <c r="BD6" i="22"/>
  <c r="C8" i="30" s="1"/>
  <c r="B14" i="81" s="1"/>
  <c r="BD8" i="22"/>
  <c r="C10" i="30" s="1"/>
  <c r="BD9" i="22"/>
  <c r="C11" i="30" s="1"/>
  <c r="B3" i="81" s="1"/>
  <c r="BD10" i="22"/>
  <c r="C12" i="30" s="1"/>
  <c r="B15" i="81" s="1"/>
  <c r="BD12" i="22"/>
  <c r="C14" i="30" s="1"/>
  <c r="BD13" i="22"/>
  <c r="C15" i="30" s="1"/>
  <c r="B4" i="81" s="1"/>
  <c r="BD14" i="22"/>
  <c r="C16" i="30" s="1"/>
  <c r="B16" i="81" s="1"/>
  <c r="BD16" i="22"/>
  <c r="C18" i="30" s="1"/>
  <c r="BD17" i="22"/>
  <c r="C19" i="30" s="1"/>
  <c r="B5" i="81" s="1"/>
  <c r="BD18" i="22"/>
  <c r="C20" i="30" s="1"/>
  <c r="B17" i="81" s="1"/>
  <c r="BD20" i="22"/>
  <c r="C22" i="30" s="1"/>
  <c r="BD21" i="22"/>
  <c r="C23" i="30" s="1"/>
  <c r="B6" i="81" s="1"/>
  <c r="BD22" i="22"/>
  <c r="C24" i="30" s="1"/>
  <c r="B18" i="81" s="1"/>
  <c r="BD24" i="22"/>
  <c r="C26" i="30" s="1"/>
  <c r="BD25" i="22"/>
  <c r="C27" i="30" s="1"/>
  <c r="B7" i="81" s="1"/>
  <c r="BD26" i="22"/>
  <c r="C28" i="30" s="1"/>
  <c r="B19" i="81" s="1"/>
  <c r="BD28" i="22"/>
  <c r="C30" i="30" s="1"/>
  <c r="BD29" i="22"/>
  <c r="C31" i="30" s="1"/>
  <c r="B8" i="81" s="1"/>
  <c r="BD30" i="22"/>
  <c r="C32" i="30" s="1"/>
  <c r="B20" i="81" s="1"/>
  <c r="BD32" i="22"/>
  <c r="C34" i="30" s="1"/>
  <c r="BD33" i="22"/>
  <c r="C35" i="30" s="1"/>
  <c r="B9" i="81" s="1"/>
  <c r="BD34" i="22"/>
  <c r="C36" i="30" s="1"/>
  <c r="B21" i="81" s="1"/>
  <c r="BD36" i="22"/>
  <c r="C38" i="30" s="1"/>
  <c r="BD37" i="22"/>
  <c r="C39" i="30" s="1"/>
  <c r="B10" i="81" s="1"/>
  <c r="BD38" i="22"/>
  <c r="C40" i="30" s="1"/>
  <c r="B22" i="81" s="1"/>
  <c r="BD40" i="22"/>
  <c r="C42" i="30" s="1"/>
  <c r="BD41" i="22"/>
  <c r="C43" i="30" s="1"/>
  <c r="B11" i="81" s="1"/>
  <c r="BD42" i="22"/>
  <c r="C44" i="30" s="1"/>
  <c r="B23"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10" i="37"/>
  <c r="E10" i="36"/>
  <c r="E10" i="35"/>
  <c r="G11" i="40"/>
  <c r="G10" i="39"/>
  <c r="G10" i="38"/>
  <c r="G17" i="38" s="1"/>
  <c r="G19" i="38" s="1"/>
  <c r="G37" i="40" s="1"/>
  <c r="G10" i="37"/>
  <c r="G10" i="36"/>
  <c r="G10" i="35"/>
  <c r="I11" i="40"/>
  <c r="I10" i="39"/>
  <c r="I10" i="38"/>
  <c r="I17" i="38" s="1"/>
  <c r="I19" i="38" s="1"/>
  <c r="I37" i="40" s="1"/>
  <c r="I10" i="37"/>
  <c r="I10" i="36"/>
  <c r="I10" i="35"/>
  <c r="K11" i="40"/>
  <c r="K10" i="39"/>
  <c r="K10" i="38"/>
  <c r="K17" i="38" s="1"/>
  <c r="K19" i="38" s="1"/>
  <c r="K37" i="40" s="1"/>
  <c r="K10" i="37"/>
  <c r="K10" i="36"/>
  <c r="K10" i="35"/>
  <c r="M11" i="40"/>
  <c r="M10" i="39"/>
  <c r="M10" i="38"/>
  <c r="M17" i="38" s="1"/>
  <c r="M19" i="38" s="1"/>
  <c r="M37" i="40" s="1"/>
  <c r="M10" i="37"/>
  <c r="M10" i="36"/>
  <c r="M10" i="35"/>
  <c r="O11" i="40"/>
  <c r="O10" i="39"/>
  <c r="O10" i="38"/>
  <c r="O17" i="38" s="1"/>
  <c r="O19" i="38" s="1"/>
  <c r="O37" i="40" s="1"/>
  <c r="O10" i="37"/>
  <c r="O10" i="36"/>
  <c r="O10" i="35"/>
  <c r="Q11" i="40"/>
  <c r="Q10" i="39"/>
  <c r="Q10" i="38"/>
  <c r="Q17" i="38" s="1"/>
  <c r="Q19" i="38" s="1"/>
  <c r="Q37" i="40" s="1"/>
  <c r="Q10" i="37"/>
  <c r="Q10" i="36"/>
  <c r="Q10" i="35"/>
  <c r="S11" i="40"/>
  <c r="S10" i="39"/>
  <c r="S10" i="38"/>
  <c r="S17" i="38" s="1"/>
  <c r="S19" i="38" s="1"/>
  <c r="S37" i="40" s="1"/>
  <c r="S10" i="37"/>
  <c r="S10" i="36"/>
  <c r="S10" i="35"/>
  <c r="U11" i="40"/>
  <c r="U10" i="39"/>
  <c r="U10" i="38"/>
  <c r="U17" i="38" s="1"/>
  <c r="U19" i="38" s="1"/>
  <c r="U37" i="40" s="1"/>
  <c r="U10" i="37"/>
  <c r="U10" i="36"/>
  <c r="U10" i="35"/>
  <c r="W11" i="40"/>
  <c r="W10" i="39"/>
  <c r="W10" i="38"/>
  <c r="W17" i="38" s="1"/>
  <c r="W19" i="38" s="1"/>
  <c r="W37" i="40" s="1"/>
  <c r="W10" i="37"/>
  <c r="W10" i="36"/>
  <c r="W10" i="35"/>
  <c r="Y11" i="40"/>
  <c r="Y10" i="39"/>
  <c r="Y10" i="38"/>
  <c r="Y17" i="38" s="1"/>
  <c r="Y19" i="38" s="1"/>
  <c r="Y37" i="40" s="1"/>
  <c r="Y10" i="37"/>
  <c r="Y10" i="36"/>
  <c r="Y10" i="35"/>
  <c r="AA11" i="40"/>
  <c r="AA10" i="39"/>
  <c r="AA10" i="38"/>
  <c r="AA17" i="38" s="1"/>
  <c r="AA19" i="38" s="1"/>
  <c r="AA37" i="40" s="1"/>
  <c r="AA10" i="37"/>
  <c r="AA10" i="36"/>
  <c r="AA10" i="35"/>
  <c r="AC11" i="40"/>
  <c r="AC10" i="39"/>
  <c r="AC10" i="38"/>
  <c r="AC17" i="38" s="1"/>
  <c r="AC19" i="38" s="1"/>
  <c r="AC37" i="40" s="1"/>
  <c r="AC10" i="37"/>
  <c r="AC10" i="36"/>
  <c r="AC10" i="35"/>
  <c r="AE11" i="40"/>
  <c r="AE10" i="39"/>
  <c r="AE10" i="38"/>
  <c r="AE17" i="38" s="1"/>
  <c r="AE19" i="38" s="1"/>
  <c r="AE37" i="40" s="1"/>
  <c r="AE10" i="37"/>
  <c r="AE10" i="36"/>
  <c r="AE10" i="35"/>
  <c r="AG11" i="40"/>
  <c r="AG10" i="39"/>
  <c r="AG10" i="38"/>
  <c r="AG17" i="38" s="1"/>
  <c r="AG19" i="38" s="1"/>
  <c r="AG37" i="40" s="1"/>
  <c r="AG10" i="37"/>
  <c r="AG10" i="36"/>
  <c r="AG10" i="35"/>
  <c r="AI11" i="40"/>
  <c r="AI10" i="39"/>
  <c r="AI10" i="38"/>
  <c r="AI17" i="38" s="1"/>
  <c r="AI19" i="38" s="1"/>
  <c r="AI37" i="40" s="1"/>
  <c r="AI10" i="37"/>
  <c r="AI10" i="36"/>
  <c r="AI10" i="35"/>
  <c r="AK11" i="40"/>
  <c r="AK10" i="39"/>
  <c r="AK10" i="38"/>
  <c r="AK17" i="38" s="1"/>
  <c r="AK10" i="37"/>
  <c r="AK10" i="36"/>
  <c r="AK10" i="35"/>
  <c r="AM11" i="40"/>
  <c r="AM10" i="39"/>
  <c r="AM10" i="38"/>
  <c r="AM17" i="38" s="1"/>
  <c r="AM19" i="38" s="1"/>
  <c r="AM37" i="40" s="1"/>
  <c r="AM10" i="37"/>
  <c r="AM10" i="36"/>
  <c r="AM10" i="35"/>
  <c r="AO11" i="40"/>
  <c r="AO10" i="39"/>
  <c r="AO10" i="38"/>
  <c r="AO17" i="38" s="1"/>
  <c r="AO19" i="38" s="1"/>
  <c r="AO37" i="40" s="1"/>
  <c r="AO10" i="37"/>
  <c r="AO10" i="36"/>
  <c r="AO10" i="35"/>
  <c r="AQ11" i="40"/>
  <c r="AQ10" i="39"/>
  <c r="AQ10" i="38"/>
  <c r="AQ17" i="38" s="1"/>
  <c r="AQ19" i="38" s="1"/>
  <c r="AQ37" i="40" s="1"/>
  <c r="AQ10" i="37"/>
  <c r="AQ10" i="36"/>
  <c r="AQ10" i="35"/>
  <c r="AS11" i="40"/>
  <c r="AS10" i="39"/>
  <c r="AS10" i="38"/>
  <c r="AS17" i="38" s="1"/>
  <c r="AS19" i="38" s="1"/>
  <c r="AS37" i="40" s="1"/>
  <c r="AS10" i="37"/>
  <c r="AS10" i="36"/>
  <c r="AS10" i="35"/>
  <c r="AU11" i="40"/>
  <c r="AU10" i="39"/>
  <c r="AU10" i="38"/>
  <c r="AU17" i="38" s="1"/>
  <c r="AU19" i="38" s="1"/>
  <c r="AU37" i="40" s="1"/>
  <c r="AU10" i="37"/>
  <c r="AU10" i="36"/>
  <c r="AU10" i="35"/>
  <c r="AW11" i="40"/>
  <c r="AW10" i="39"/>
  <c r="AW10" i="38"/>
  <c r="AW17" i="38" s="1"/>
  <c r="AW19" i="38" s="1"/>
  <c r="AW37" i="40" s="1"/>
  <c r="AW10" i="37"/>
  <c r="AW10" i="36"/>
  <c r="AW10" i="35"/>
  <c r="AY11" i="40"/>
  <c r="AY10" i="39"/>
  <c r="AY10" i="38"/>
  <c r="AY17" i="38" s="1"/>
  <c r="AY19" i="38" s="1"/>
  <c r="AY37" i="40" s="1"/>
  <c r="AY10" i="37"/>
  <c r="AY10" i="36"/>
  <c r="AY10" i="35"/>
  <c r="BA11" i="40"/>
  <c r="BA10" i="39"/>
  <c r="BA10" i="38"/>
  <c r="BA17" i="38" s="1"/>
  <c r="BA19" i="38" s="1"/>
  <c r="BA37" i="40" s="1"/>
  <c r="BA10" i="37"/>
  <c r="BA10" i="36"/>
  <c r="BA10" i="35"/>
  <c r="BC11" i="40"/>
  <c r="BC10" i="39"/>
  <c r="BC10" i="38"/>
  <c r="BC17" i="38" s="1"/>
  <c r="BC19" i="38" s="1"/>
  <c r="BC37" i="40" s="1"/>
  <c r="BC10" i="37"/>
  <c r="BC10" i="36"/>
  <c r="BC10" i="35"/>
  <c r="BE11" i="40"/>
  <c r="BE10" i="39"/>
  <c r="BE10" i="38"/>
  <c r="BE17" i="38" s="1"/>
  <c r="BE19" i="38" s="1"/>
  <c r="BE37" i="40" s="1"/>
  <c r="BE10" i="37"/>
  <c r="BE10" i="36"/>
  <c r="BE10" i="35"/>
  <c r="F11" i="40"/>
  <c r="F10" i="39"/>
  <c r="F10" i="38"/>
  <c r="F17" i="38" s="1"/>
  <c r="F19" i="38" s="1"/>
  <c r="F37" i="40" s="1"/>
  <c r="F10" i="37"/>
  <c r="F10" i="36"/>
  <c r="F10" i="35"/>
  <c r="H11" i="40"/>
  <c r="H10" i="39"/>
  <c r="H10" i="38"/>
  <c r="H17" i="38" s="1"/>
  <c r="H19" i="38" s="1"/>
  <c r="H37" i="40" s="1"/>
  <c r="H10" i="37"/>
  <c r="H10" i="36"/>
  <c r="H10" i="35"/>
  <c r="J10" i="37"/>
  <c r="J10" i="36"/>
  <c r="J11" i="40"/>
  <c r="J10" i="39"/>
  <c r="J10" i="38"/>
  <c r="J17" i="38" s="1"/>
  <c r="J19" i="38" s="1"/>
  <c r="J37" i="40" s="1"/>
  <c r="J10" i="35"/>
  <c r="L11" i="40"/>
  <c r="L10" i="39"/>
  <c r="L10" i="38"/>
  <c r="L17" i="38" s="1"/>
  <c r="L19" i="38" s="1"/>
  <c r="L37" i="40" s="1"/>
  <c r="L10" i="37"/>
  <c r="L10" i="36"/>
  <c r="L10" i="35"/>
  <c r="N11" i="40"/>
  <c r="N10" i="39"/>
  <c r="N10" i="38"/>
  <c r="N17" i="38" s="1"/>
  <c r="N19" i="38" s="1"/>
  <c r="N37" i="40" s="1"/>
  <c r="N10" i="37"/>
  <c r="N10" i="36"/>
  <c r="N10" i="35"/>
  <c r="P11" i="40"/>
  <c r="P10" i="39"/>
  <c r="P10" i="38"/>
  <c r="P17" i="38" s="1"/>
  <c r="P19" i="38" s="1"/>
  <c r="P37" i="40" s="1"/>
  <c r="P10" i="37"/>
  <c r="P10" i="36"/>
  <c r="P10" i="35"/>
  <c r="R10" i="37"/>
  <c r="R10" i="36"/>
  <c r="R11" i="40"/>
  <c r="R10" i="39"/>
  <c r="R10" i="38"/>
  <c r="R17" i="38" s="1"/>
  <c r="R19" i="38" s="1"/>
  <c r="R37" i="40" s="1"/>
  <c r="R10" i="35"/>
  <c r="T11" i="40"/>
  <c r="T10" i="39"/>
  <c r="T10" i="38"/>
  <c r="T17" i="38" s="1"/>
  <c r="T19" i="38" s="1"/>
  <c r="T37" i="40" s="1"/>
  <c r="T10" i="37"/>
  <c r="T10" i="36"/>
  <c r="T10" i="35"/>
  <c r="V11" i="40"/>
  <c r="V10" i="39"/>
  <c r="V10" i="38"/>
  <c r="V17" i="38" s="1"/>
  <c r="V19" i="38" s="1"/>
  <c r="V37" i="40" s="1"/>
  <c r="V10" i="37"/>
  <c r="V10" i="36"/>
  <c r="V10" i="35"/>
  <c r="X11" i="40"/>
  <c r="X10" i="39"/>
  <c r="X10" i="38"/>
  <c r="X17" i="38" s="1"/>
  <c r="X10" i="37"/>
  <c r="X10" i="36"/>
  <c r="X10" i="35"/>
  <c r="Z10" i="37"/>
  <c r="Z10" i="36"/>
  <c r="Z11" i="40"/>
  <c r="Z10" i="39"/>
  <c r="Z10" i="38"/>
  <c r="Z17" i="38" s="1"/>
  <c r="Z19" i="38" s="1"/>
  <c r="Z37" i="40" s="1"/>
  <c r="Z10" i="35"/>
  <c r="AB11" i="40"/>
  <c r="AB10" i="39"/>
  <c r="AB10" i="38"/>
  <c r="AB17" i="38" s="1"/>
  <c r="AB19" i="38" s="1"/>
  <c r="AB37" i="40" s="1"/>
  <c r="AB10" i="37"/>
  <c r="AB10" i="36"/>
  <c r="AB10" i="35"/>
  <c r="AD11" i="40"/>
  <c r="AD10" i="39"/>
  <c r="AD10" i="38"/>
  <c r="AD17" i="38" s="1"/>
  <c r="AD19" i="38" s="1"/>
  <c r="AD37" i="40" s="1"/>
  <c r="AD10" i="37"/>
  <c r="AD10" i="36"/>
  <c r="AD10" i="35"/>
  <c r="AF11" i="40"/>
  <c r="AF10" i="39"/>
  <c r="AF10" i="38"/>
  <c r="AF17" i="38" s="1"/>
  <c r="AF19" i="38" s="1"/>
  <c r="AF37" i="40" s="1"/>
  <c r="AF10" i="37"/>
  <c r="AF10" i="36"/>
  <c r="AF10" i="35"/>
  <c r="AH10" i="37"/>
  <c r="AH10" i="36"/>
  <c r="AH11" i="40"/>
  <c r="AH10" i="39"/>
  <c r="AH10" i="38"/>
  <c r="AH17" i="38" s="1"/>
  <c r="AH19" i="38" s="1"/>
  <c r="AH37" i="40" s="1"/>
  <c r="AH10" i="35"/>
  <c r="AJ11" i="40"/>
  <c r="AJ10" i="39"/>
  <c r="AJ10" i="38"/>
  <c r="AJ17" i="38" s="1"/>
  <c r="AJ19" i="38" s="1"/>
  <c r="AJ37" i="40" s="1"/>
  <c r="AJ10" i="37"/>
  <c r="AJ10" i="36"/>
  <c r="AJ10" i="35"/>
  <c r="AL11" i="40"/>
  <c r="AL10" i="39"/>
  <c r="AL10" i="38"/>
  <c r="AL17" i="38" s="1"/>
  <c r="AL19" i="38" s="1"/>
  <c r="AL37" i="40" s="1"/>
  <c r="AL10" i="37"/>
  <c r="AL10" i="36"/>
  <c r="AL10" i="35"/>
  <c r="AN11" i="40"/>
  <c r="AN10" i="39"/>
  <c r="AN10" i="38"/>
  <c r="AN17" i="38" s="1"/>
  <c r="AN19" i="38" s="1"/>
  <c r="AN37" i="40" s="1"/>
  <c r="AN10" i="37"/>
  <c r="AN10" i="36"/>
  <c r="AN10" i="35"/>
  <c r="AP10" i="37"/>
  <c r="AP11" i="40"/>
  <c r="AP10" i="39"/>
  <c r="AP10" i="38"/>
  <c r="AP17" i="38" s="1"/>
  <c r="AP19" i="38" s="1"/>
  <c r="AP37" i="40" s="1"/>
  <c r="AP10" i="36"/>
  <c r="AP10" i="35"/>
  <c r="AR11" i="40"/>
  <c r="AR10" i="39"/>
  <c r="AR10" i="38"/>
  <c r="AR17" i="38" s="1"/>
  <c r="AR19" i="38" s="1"/>
  <c r="AR37" i="40" s="1"/>
  <c r="AR10" i="37"/>
  <c r="AR10" i="36"/>
  <c r="AR10" i="35"/>
  <c r="AT11" i="40"/>
  <c r="AT10" i="39"/>
  <c r="AT10" i="38"/>
  <c r="AT17" i="38" s="1"/>
  <c r="AT19" i="38" s="1"/>
  <c r="AT37" i="40" s="1"/>
  <c r="AT10" i="37"/>
  <c r="AT10" i="36"/>
  <c r="AT10" i="35"/>
  <c r="AV11" i="40"/>
  <c r="AV10" i="39"/>
  <c r="AV10" i="38"/>
  <c r="AV17" i="38" s="1"/>
  <c r="AV19" i="38" s="1"/>
  <c r="AV37" i="40" s="1"/>
  <c r="AV10" i="37"/>
  <c r="AV10" i="36"/>
  <c r="AV10" i="35"/>
  <c r="AX10" i="37"/>
  <c r="AX11" i="40"/>
  <c r="AX10" i="39"/>
  <c r="AX10" i="38"/>
  <c r="AX17" i="38" s="1"/>
  <c r="AX19" i="38" s="1"/>
  <c r="AX37" i="40" s="1"/>
  <c r="AX10" i="36"/>
  <c r="AX10" i="35"/>
  <c r="AZ11" i="40"/>
  <c r="AZ10" i="39"/>
  <c r="AZ10" i="38"/>
  <c r="AZ17" i="38" s="1"/>
  <c r="AZ19" i="38" s="1"/>
  <c r="AZ37" i="40" s="1"/>
  <c r="AZ10" i="37"/>
  <c r="AZ10" i="36"/>
  <c r="AZ10" i="35"/>
  <c r="BB11" i="40"/>
  <c r="BB10" i="39"/>
  <c r="BB10" i="38"/>
  <c r="BB17" i="38" s="1"/>
  <c r="BB19" i="38" s="1"/>
  <c r="BB37" i="40" s="1"/>
  <c r="BB10" i="37"/>
  <c r="BB10" i="36"/>
  <c r="BB10" i="35"/>
  <c r="BD11" i="40"/>
  <c r="BD10" i="39"/>
  <c r="BD10" i="38"/>
  <c r="BD17" i="38" s="1"/>
  <c r="BD19" i="38" s="1"/>
  <c r="BD37" i="40" s="1"/>
  <c r="BD10"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10" i="37"/>
  <c r="BG10" i="36"/>
  <c r="BG10" i="35"/>
  <c r="BF10" i="37"/>
  <c r="BF11" i="40"/>
  <c r="BF10" i="39"/>
  <c r="BF10" i="38"/>
  <c r="BF10" i="36"/>
  <c r="BF10" i="35"/>
  <c r="BH11" i="40"/>
  <c r="BH10" i="39"/>
  <c r="BH10" i="38"/>
  <c r="BH10" i="37"/>
  <c r="BH10"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<sst xmlns="http://schemas.openxmlformats.org/spreadsheetml/2006/main" count="5598" uniqueCount="822">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</sst>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8">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4" fontId="0" fillId="11" borderId="1" xfId="0" applyNumberFormat="1" applyFill="1" applyBorder="1"/>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layout/>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layout/>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layout/>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layout/>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layout/>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layout/>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473-4627-B6BF-1A2FAE0B92B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473-4627-B6BF-1A2FAE0B92B4}"/>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473-4627-B6BF-1A2FAE0B92B4}"/>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473-4627-B6BF-1A2FAE0B92B4}"/>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473-4627-B6BF-1A2FAE0B92B4}"/>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4473-4627-B6BF-1A2FAE0B92B4}"/>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4473-4627-B6BF-1A2FAE0B92B4}"/>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4473-4627-B6BF-1A2FAE0B92B4}"/>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4473-4627-B6BF-1A2FAE0B92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0F-4DB5-B221-85C24E14FAB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0F-4DB5-B221-85C24E14FAB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0F-4DB5-B221-85C24E14FAB9}"/>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0F-4DB5-B221-85C24E14FAB9}"/>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0F-4DB5-B221-85C24E14FAB9}"/>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DC0F-4DB5-B221-85C24E14FAB9}"/>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DC0F-4DB5-B221-85C24E14FAB9}"/>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DC0F-4DB5-B221-85C24E14FAB9}"/>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DC0F-4DB5-B221-85C24E14FAB9}"/>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DC0F-4DB5-B221-85C24E14FA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376-4089-A76F-DD1FD0CD88C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376-4089-A76F-DD1FD0CD88C8}"/>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376-4089-A76F-DD1FD0CD88C8}"/>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376-4089-A76F-DD1FD0CD88C8}"/>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376-4089-A76F-DD1FD0CD88C8}"/>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3376-4089-A76F-DD1FD0CD88C8}"/>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3376-4089-A76F-DD1FD0CD88C8}"/>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3376-4089-A76F-DD1FD0CD88C8}"/>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3376-4089-A76F-DD1FD0CD88C8}"/>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3376-4089-A76F-DD1FD0CD88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fonction'!$A$2:$A$11</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fonction'!$B$2:$B$11</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E0C-4D07-8332-E566B5CE0D6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E0C-4D07-8332-E566B5CE0D63}"/>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E0C-4D07-8332-E566B5CE0D63}"/>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E0C-4D07-8332-E566B5CE0D63}"/>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E0C-4D07-8332-E566B5CE0D63}"/>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AE0C-4D07-8332-E566B5CE0D63}"/>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AE0C-4D07-8332-E566B5CE0D63}"/>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AE0C-4D07-8332-E566B5CE0D63}"/>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AE0C-4D07-8332-E566B5CE0D63}"/>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AE0C-4D07-8332-E566B5CE0D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fonction'!$A$14:$A$23</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fonction'!$B$14:$B$23</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Etat</a:t>
            </a:r>
            <a:r>
              <a:rPr lang="fr-CH" baseline="0"/>
              <a:t> des capitaux propres</a:t>
            </a:r>
            <a:endParaRPr lang="fr-CH"/>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B0-441C-AD1D-2BF317583BB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B0-441C-AD1D-2BF317583BB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B0-441C-AD1D-2BF317583BB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B0-441C-AD1D-2BF317583BB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B0-441C-AD1D-2BF317583BB0}"/>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0CB0-441C-AD1D-2BF317583BB0}"/>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0CB0-441C-AD1D-2BF317583BB0}"/>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0CB0-441C-AD1D-2BF317583BB0}"/>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0CB0-441C-AD1D-2BF317583B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'5.4.1Graphique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'5.4.1Graphique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1"/>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23</xdr:row>
      <xdr:rowOff>161925</xdr:rowOff>
    </xdr:from>
    <xdr:to>
      <xdr:col>4</xdr:col>
      <xdr:colOff>9525</xdr:colOff>
      <xdr:row>44</xdr:row>
      <xdr:rowOff>182217</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9526</xdr:colOff>
      <xdr:row>45</xdr:row>
      <xdr:rowOff>190499</xdr:rowOff>
    </xdr:from>
    <xdr:to>
      <xdr:col>4</xdr:col>
      <xdr:colOff>9524</xdr:colOff>
      <xdr:row>66</xdr:row>
      <xdr:rowOff>161925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6" t="s">
        <v>610</v>
      </c>
    </row>
    <row r="4" spans="1:3" ht="21" x14ac:dyDescent="0.35">
      <c r="B4" s="195" t="s">
        <v>621</v>
      </c>
      <c r="C4" s="157"/>
    </row>
    <row r="5" spans="1:3" x14ac:dyDescent="0.25">
      <c r="C5" s="157"/>
    </row>
    <row r="6" spans="1:3" x14ac:dyDescent="0.25">
      <c r="A6" s="65">
        <v>1</v>
      </c>
      <c r="B6" s="7" t="s">
        <v>611</v>
      </c>
      <c r="C6" s="163"/>
    </row>
    <row r="7" spans="1:3" x14ac:dyDescent="0.25">
      <c r="A7" s="157">
        <v>1.1000000000000001</v>
      </c>
      <c r="B7" t="s">
        <v>611</v>
      </c>
      <c r="C7" s="164" t="s">
        <v>611</v>
      </c>
    </row>
    <row r="8" spans="1:3" x14ac:dyDescent="0.25">
      <c r="A8" s="157"/>
      <c r="C8" s="165"/>
    </row>
    <row r="9" spans="1:3" x14ac:dyDescent="0.25">
      <c r="A9" s="65">
        <v>2</v>
      </c>
      <c r="B9" s="7" t="s">
        <v>615</v>
      </c>
      <c r="C9" s="165"/>
    </row>
    <row r="10" spans="1:3" x14ac:dyDescent="0.25">
      <c r="A10" s="157">
        <v>2.1</v>
      </c>
      <c r="B10" t="s">
        <v>622</v>
      </c>
      <c r="C10" s="166" t="s">
        <v>636</v>
      </c>
    </row>
    <row r="11" spans="1:3" x14ac:dyDescent="0.25">
      <c r="A11" s="157">
        <v>2.2000000000000002</v>
      </c>
      <c r="B11" t="s">
        <v>623</v>
      </c>
      <c r="C11" s="167" t="s">
        <v>637</v>
      </c>
    </row>
    <row r="12" spans="1:3" x14ac:dyDescent="0.25">
      <c r="A12" s="157">
        <v>2.2999999999999998</v>
      </c>
      <c r="B12" t="s">
        <v>659</v>
      </c>
      <c r="C12" s="167" t="s">
        <v>661</v>
      </c>
    </row>
    <row r="13" spans="1:3" x14ac:dyDescent="0.25">
      <c r="A13" s="157">
        <v>2.4</v>
      </c>
      <c r="B13" t="s">
        <v>612</v>
      </c>
      <c r="C13" s="167" t="s">
        <v>612</v>
      </c>
    </row>
    <row r="14" spans="1:3" x14ac:dyDescent="0.25">
      <c r="A14" s="157">
        <v>2.5</v>
      </c>
      <c r="B14" t="s">
        <v>613</v>
      </c>
      <c r="C14" s="167" t="s">
        <v>613</v>
      </c>
    </row>
    <row r="15" spans="1:3" x14ac:dyDescent="0.25">
      <c r="A15" s="157">
        <v>2.6</v>
      </c>
      <c r="B15" t="s">
        <v>638</v>
      </c>
      <c r="C15" s="167" t="s">
        <v>638</v>
      </c>
    </row>
    <row r="16" spans="1:3" x14ac:dyDescent="0.25">
      <c r="A16" s="157">
        <v>2.7</v>
      </c>
      <c r="B16" t="s">
        <v>639</v>
      </c>
      <c r="C16" s="167" t="s">
        <v>640</v>
      </c>
    </row>
    <row r="17" spans="1:3" x14ac:dyDescent="0.25">
      <c r="A17" s="157">
        <v>2.8</v>
      </c>
      <c r="B17" t="s">
        <v>558</v>
      </c>
      <c r="C17" s="167" t="s">
        <v>558</v>
      </c>
    </row>
    <row r="18" spans="1:3" x14ac:dyDescent="0.25">
      <c r="A18" s="157">
        <v>2.9</v>
      </c>
      <c r="B18" t="s">
        <v>614</v>
      </c>
      <c r="C18" s="167" t="s">
        <v>614</v>
      </c>
    </row>
    <row r="19" spans="1:3" x14ac:dyDescent="0.25">
      <c r="A19" s="162">
        <v>2.1</v>
      </c>
      <c r="B19" t="s">
        <v>616</v>
      </c>
      <c r="C19" s="167" t="s">
        <v>616</v>
      </c>
    </row>
    <row r="20" spans="1:3" x14ac:dyDescent="0.25">
      <c r="A20" s="162">
        <v>2.11</v>
      </c>
      <c r="B20" t="s">
        <v>617</v>
      </c>
      <c r="C20" s="167" t="s">
        <v>641</v>
      </c>
    </row>
    <row r="21" spans="1:3" x14ac:dyDescent="0.25">
      <c r="A21" s="157"/>
      <c r="C21" s="165"/>
    </row>
    <row r="22" spans="1:3" x14ac:dyDescent="0.25">
      <c r="A22" s="65">
        <v>3</v>
      </c>
      <c r="B22" s="7" t="s">
        <v>618</v>
      </c>
      <c r="C22" s="165"/>
    </row>
    <row r="23" spans="1:3" x14ac:dyDescent="0.25">
      <c r="A23" s="157">
        <v>3.2</v>
      </c>
      <c r="B23" t="s">
        <v>626</v>
      </c>
      <c r="C23" s="168" t="s">
        <v>626</v>
      </c>
    </row>
    <row r="24" spans="1:3" x14ac:dyDescent="0.25">
      <c r="A24" s="157">
        <v>3.3</v>
      </c>
      <c r="B24" t="s">
        <v>625</v>
      </c>
      <c r="C24" s="168" t="s">
        <v>625</v>
      </c>
    </row>
    <row r="25" spans="1:3" x14ac:dyDescent="0.25">
      <c r="A25" s="157">
        <v>3.4</v>
      </c>
      <c r="B25" t="s">
        <v>756</v>
      </c>
      <c r="C25" s="168" t="s">
        <v>756</v>
      </c>
    </row>
    <row r="26" spans="1:3" x14ac:dyDescent="0.25">
      <c r="A26" s="157">
        <v>3.5</v>
      </c>
      <c r="B26" t="s">
        <v>619</v>
      </c>
      <c r="C26" s="168" t="s">
        <v>642</v>
      </c>
    </row>
    <row r="27" spans="1:3" x14ac:dyDescent="0.25">
      <c r="A27" s="157">
        <v>3.6</v>
      </c>
      <c r="B27" t="s">
        <v>620</v>
      </c>
      <c r="C27" s="168" t="s">
        <v>755</v>
      </c>
    </row>
    <row r="28" spans="1:3" x14ac:dyDescent="0.25">
      <c r="A28" s="157"/>
      <c r="C28" s="165"/>
    </row>
    <row r="29" spans="1:3" x14ac:dyDescent="0.25">
      <c r="A29" s="65">
        <v>4</v>
      </c>
      <c r="B29" s="7" t="s">
        <v>628</v>
      </c>
      <c r="C29" s="165"/>
    </row>
    <row r="30" spans="1:3" x14ac:dyDescent="0.25">
      <c r="A30" s="157">
        <v>4.0999999999999996</v>
      </c>
      <c r="B30" t="s">
        <v>627</v>
      </c>
      <c r="C30" s="169" t="s">
        <v>624</v>
      </c>
    </row>
    <row r="31" spans="1:3" x14ac:dyDescent="0.25">
      <c r="A31" s="157">
        <v>4.2</v>
      </c>
      <c r="B31" t="s">
        <v>660</v>
      </c>
      <c r="C31" s="169" t="s">
        <v>660</v>
      </c>
    </row>
    <row r="32" spans="1:3" x14ac:dyDescent="0.25">
      <c r="A32" s="157"/>
      <c r="C32" s="165"/>
    </row>
    <row r="33" spans="1:3" x14ac:dyDescent="0.25">
      <c r="A33" s="65">
        <v>5</v>
      </c>
      <c r="B33" s="7" t="s">
        <v>282</v>
      </c>
      <c r="C33" s="165"/>
    </row>
    <row r="34" spans="1:3" x14ac:dyDescent="0.25">
      <c r="A34" s="157">
        <v>5.0999999999999996</v>
      </c>
      <c r="B34" t="s">
        <v>757</v>
      </c>
      <c r="C34" s="171" t="s">
        <v>757</v>
      </c>
    </row>
    <row r="35" spans="1:3" x14ac:dyDescent="0.25">
      <c r="A35" s="157">
        <v>5.2</v>
      </c>
      <c r="B35" t="s">
        <v>635</v>
      </c>
      <c r="C35" s="170" t="s">
        <v>579</v>
      </c>
    </row>
    <row r="36" spans="1:3" x14ac:dyDescent="0.25">
      <c r="A36" s="157">
        <v>5.3</v>
      </c>
      <c r="B36" t="s">
        <v>631</v>
      </c>
      <c r="C36" s="171" t="s">
        <v>643</v>
      </c>
    </row>
    <row r="37" spans="1:3" x14ac:dyDescent="0.25">
      <c r="A37" s="157">
        <v>5.4</v>
      </c>
      <c r="B37" t="s">
        <v>632</v>
      </c>
      <c r="C37" s="171" t="s">
        <v>644</v>
      </c>
    </row>
    <row r="38" spans="1:3" x14ac:dyDescent="0.25">
      <c r="A38" s="157">
        <v>5.5</v>
      </c>
      <c r="B38" t="s">
        <v>633</v>
      </c>
      <c r="C38" s="171" t="s">
        <v>645</v>
      </c>
    </row>
    <row r="39" spans="1:3" x14ac:dyDescent="0.25">
      <c r="A39" s="157">
        <v>5.6</v>
      </c>
      <c r="B39" t="s">
        <v>634</v>
      </c>
      <c r="C39" s="170" t="s">
        <v>646</v>
      </c>
    </row>
    <row r="40" spans="1:3" x14ac:dyDescent="0.25">
      <c r="A40" s="157">
        <v>5.7</v>
      </c>
      <c r="B40" t="s">
        <v>629</v>
      </c>
      <c r="C40" s="171" t="s">
        <v>647</v>
      </c>
    </row>
    <row r="41" spans="1:3" x14ac:dyDescent="0.25">
      <c r="A41" s="157">
        <v>5.8</v>
      </c>
      <c r="B41" t="s">
        <v>630</v>
      </c>
      <c r="C41" s="171"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6"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'6.1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'6.1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'6.1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'6.1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C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7">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7">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7">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7">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5"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4">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B34" sqref="B34"/>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0" zoomScale="115" zoomScaleNormal="115" workbookViewId="0">
      <selection activeCell="G32" sqref="G32"/>
    </sheetView>
  </sheetViews>
  <sheetFormatPr baseColWidth="10" defaultRowHeight="15" x14ac:dyDescent="0.25"/>
  <cols>
    <col min="1" max="1" width="57" customWidth="1"/>
    <col min="2" max="2" width="22.85546875" customWidth="1"/>
  </cols>
  <sheetData>
    <row r="1" spans="1:2" x14ac:dyDescent="0.25">
      <c r="A1" s="7" t="s">
        <v>60</v>
      </c>
      <c r="B1" s="4"/>
    </row>
    <row r="2" spans="1:2" x14ac:dyDescent="0.25">
      <c r="A2" s="78" t="s">
        <v>806</v>
      </c>
      <c r="B2" s="4">
        <f>'Tableau fonctionnelle'!C7</f>
        <v>31469284.439999998</v>
      </c>
    </row>
    <row r="3" spans="1:2" x14ac:dyDescent="0.25">
      <c r="A3" s="78" t="s">
        <v>807</v>
      </c>
      <c r="B3" s="4">
        <f>'Tableau fonctionnelle'!C11</f>
        <v>11136519.650000002</v>
      </c>
    </row>
    <row r="4" spans="1:2" x14ac:dyDescent="0.25">
      <c r="A4" s="78" t="s">
        <v>808</v>
      </c>
      <c r="B4" s="4">
        <f>'Tableau fonctionnelle'!C15</f>
        <v>102323379.91000003</v>
      </c>
    </row>
    <row r="5" spans="1:2" x14ac:dyDescent="0.25">
      <c r="A5" s="78" t="s">
        <v>809</v>
      </c>
      <c r="B5" s="4">
        <f>'Tableau fonctionnelle'!C19</f>
        <v>14985535.060000002</v>
      </c>
    </row>
    <row r="6" spans="1:2" x14ac:dyDescent="0.25">
      <c r="A6" s="78" t="s">
        <v>810</v>
      </c>
      <c r="B6" s="4">
        <f>'Tableau fonctionnelle'!C23</f>
        <v>804616.3899999999</v>
      </c>
    </row>
    <row r="7" spans="1:2" x14ac:dyDescent="0.25">
      <c r="A7" s="78" t="s">
        <v>811</v>
      </c>
      <c r="B7" s="4">
        <f>'Tableau fonctionnelle'!C27</f>
        <v>91044890.049999997</v>
      </c>
    </row>
    <row r="8" spans="1:2" x14ac:dyDescent="0.25">
      <c r="A8" s="78" t="s">
        <v>812</v>
      </c>
      <c r="B8" s="4">
        <f>'Tableau fonctionnelle'!C31</f>
        <v>27784761.320000011</v>
      </c>
    </row>
    <row r="9" spans="1:2" x14ac:dyDescent="0.25">
      <c r="A9" s="78" t="s">
        <v>813</v>
      </c>
      <c r="B9" s="4">
        <f>'Tableau fonctionnelle'!C35</f>
        <v>40133119.179999992</v>
      </c>
    </row>
    <row r="10" spans="1:2" x14ac:dyDescent="0.25">
      <c r="A10" s="78" t="s">
        <v>814</v>
      </c>
      <c r="B10" s="4">
        <f>'Tableau fonctionnelle'!C39</f>
        <v>38853071.929999985</v>
      </c>
    </row>
    <row r="11" spans="1:2" x14ac:dyDescent="0.25">
      <c r="A11" s="78" t="s">
        <v>815</v>
      </c>
      <c r="B11" s="4">
        <f>'Tableau fonctionnelle'!C43</f>
        <v>42749162.500000007</v>
      </c>
    </row>
    <row r="12" spans="1:2" x14ac:dyDescent="0.25">
      <c r="B12" s="4"/>
    </row>
    <row r="13" spans="1:2" x14ac:dyDescent="0.25">
      <c r="A13" s="7" t="s">
        <v>137</v>
      </c>
      <c r="B13" s="4"/>
    </row>
    <row r="14" spans="1:2" x14ac:dyDescent="0.25">
      <c r="A14" s="78" t="s">
        <v>806</v>
      </c>
      <c r="B14" s="4">
        <f>'Tableau fonctionnelle'!C8</f>
        <v>4024189.8900000006</v>
      </c>
    </row>
    <row r="15" spans="1:2" x14ac:dyDescent="0.25">
      <c r="A15" s="78" t="s">
        <v>807</v>
      </c>
      <c r="B15" s="4">
        <f>'Tableau fonctionnelle'!C12</f>
        <v>7519359.5800000019</v>
      </c>
    </row>
    <row r="16" spans="1:2" x14ac:dyDescent="0.25">
      <c r="A16" s="78" t="s">
        <v>808</v>
      </c>
      <c r="B16" s="4">
        <f>'Tableau fonctionnelle'!C16</f>
        <v>6742848.660000002</v>
      </c>
    </row>
    <row r="17" spans="1:2" x14ac:dyDescent="0.25">
      <c r="A17" s="78" t="s">
        <v>809</v>
      </c>
      <c r="B17" s="4">
        <f>'Tableau fonctionnelle'!C20</f>
        <v>2072041.33</v>
      </c>
    </row>
    <row r="18" spans="1:2" x14ac:dyDescent="0.25">
      <c r="A18" s="78" t="s">
        <v>810</v>
      </c>
      <c r="B18" s="4">
        <f>'Tableau fonctionnelle'!C24</f>
        <v>14782.6</v>
      </c>
    </row>
    <row r="19" spans="1:2" x14ac:dyDescent="0.25">
      <c r="A19" s="78" t="s">
        <v>811</v>
      </c>
      <c r="B19" s="4">
        <f>'Tableau fonctionnelle'!C28</f>
        <v>34650660.200000003</v>
      </c>
    </row>
    <row r="20" spans="1:2" x14ac:dyDescent="0.25">
      <c r="A20" s="78" t="s">
        <v>812</v>
      </c>
      <c r="B20" s="4">
        <f>'Tableau fonctionnelle'!C32</f>
        <v>8078036.5399999991</v>
      </c>
    </row>
    <row r="21" spans="1:2" x14ac:dyDescent="0.25">
      <c r="A21" s="78" t="s">
        <v>813</v>
      </c>
      <c r="B21" s="4">
        <f>'Tableau fonctionnelle'!C36</f>
        <v>42822551.390000001</v>
      </c>
    </row>
    <row r="22" spans="1:2" x14ac:dyDescent="0.25">
      <c r="A22" s="78" t="s">
        <v>814</v>
      </c>
      <c r="B22" s="4">
        <f>'Tableau fonctionnelle'!C40</f>
        <v>39185009.339999996</v>
      </c>
    </row>
    <row r="23" spans="1:2" x14ac:dyDescent="0.25">
      <c r="A23" s="78" t="s">
        <v>815</v>
      </c>
      <c r="B23" s="4">
        <f>'Tableau fonctionnelle'!C44</f>
        <v>264468552.40999994</v>
      </c>
    </row>
    <row r="24" spans="1:2" x14ac:dyDescent="0.25">
      <c r="B24" s="4"/>
    </row>
    <row r="25" spans="1:2" x14ac:dyDescent="0.25">
      <c r="B25" s="4"/>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4">
        <v>1</v>
      </c>
      <c r="N2" s="31" t="s">
        <v>52</v>
      </c>
      <c r="O2" s="32">
        <f>C34</f>
        <v>1895</v>
      </c>
    </row>
    <row r="3" spans="1:15" x14ac:dyDescent="0.2">
      <c r="A3" s="27">
        <v>2</v>
      </c>
      <c r="B3" s="28" t="s">
        <v>18</v>
      </c>
      <c r="C3" s="29">
        <v>270</v>
      </c>
      <c r="D3" s="12"/>
      <c r="M3" s="194">
        <v>2</v>
      </c>
      <c r="N3" s="31" t="s">
        <v>32</v>
      </c>
      <c r="O3" s="32">
        <f>C36</f>
        <v>1241</v>
      </c>
    </row>
    <row r="4" spans="1:15" x14ac:dyDescent="0.2">
      <c r="A4" s="27">
        <v>3</v>
      </c>
      <c r="B4" s="28" t="s">
        <v>57</v>
      </c>
      <c r="C4" s="29">
        <v>485</v>
      </c>
      <c r="D4" s="12"/>
      <c r="M4" s="194">
        <v>3</v>
      </c>
      <c r="N4" s="31" t="s">
        <v>29</v>
      </c>
      <c r="O4" s="32">
        <f>C37</f>
        <v>119</v>
      </c>
    </row>
    <row r="5" spans="1:15" x14ac:dyDescent="0.2">
      <c r="A5" s="27">
        <v>4</v>
      </c>
      <c r="B5" s="28" t="s">
        <v>53</v>
      </c>
      <c r="C5" s="29">
        <v>446</v>
      </c>
      <c r="D5" s="12"/>
      <c r="F5" s="20" t="s">
        <v>72</v>
      </c>
      <c r="M5" s="194">
        <v>4</v>
      </c>
      <c r="N5" s="28" t="s">
        <v>56</v>
      </c>
      <c r="O5" s="29">
        <f>C2</f>
        <v>923</v>
      </c>
    </row>
    <row r="6" spans="1:15" x14ac:dyDescent="0.2">
      <c r="A6" s="27">
        <v>5</v>
      </c>
      <c r="B6" s="28" t="s">
        <v>33</v>
      </c>
      <c r="C6" s="29">
        <v>3631</v>
      </c>
      <c r="D6" s="12"/>
      <c r="F6" s="22" t="s">
        <v>28</v>
      </c>
      <c r="G6" s="22"/>
      <c r="H6" s="23">
        <f>SUM(C2:C20)</f>
        <v>38954</v>
      </c>
      <c r="M6" s="194">
        <v>5</v>
      </c>
      <c r="N6" s="31" t="s">
        <v>26</v>
      </c>
      <c r="O6" s="32">
        <f>C38</f>
        <v>1195</v>
      </c>
    </row>
    <row r="7" spans="1:15" x14ac:dyDescent="0.2">
      <c r="A7" s="27">
        <v>6</v>
      </c>
      <c r="B7" s="28" t="s">
        <v>10</v>
      </c>
      <c r="C7" s="29">
        <v>3313</v>
      </c>
      <c r="D7" s="12"/>
      <c r="F7" s="34" t="s">
        <v>64</v>
      </c>
      <c r="G7" s="34"/>
      <c r="H7" s="35">
        <f>SUM(C21:C33)</f>
        <v>10479</v>
      </c>
      <c r="M7" s="194">
        <v>6</v>
      </c>
      <c r="N7" s="31" t="s">
        <v>48</v>
      </c>
      <c r="O7" s="32">
        <f>C39</f>
        <v>663</v>
      </c>
    </row>
    <row r="8" spans="1:15" x14ac:dyDescent="0.2">
      <c r="A8" s="27">
        <v>7</v>
      </c>
      <c r="B8" s="28" t="s">
        <v>15</v>
      </c>
      <c r="C8" s="29">
        <v>2644</v>
      </c>
      <c r="D8" s="12"/>
      <c r="F8" s="19" t="s">
        <v>16</v>
      </c>
      <c r="G8" s="19"/>
      <c r="H8" s="33">
        <f>SUM(C34:C54)</f>
        <v>24276</v>
      </c>
      <c r="M8" s="194">
        <v>7</v>
      </c>
      <c r="N8" s="28" t="s">
        <v>18</v>
      </c>
      <c r="O8" s="29">
        <f>C3</f>
        <v>270</v>
      </c>
    </row>
    <row r="9" spans="1:15" x14ac:dyDescent="0.2">
      <c r="A9" s="27">
        <v>8</v>
      </c>
      <c r="B9" s="28" t="s">
        <v>28</v>
      </c>
      <c r="C9" s="30">
        <v>12618</v>
      </c>
      <c r="D9" s="12"/>
      <c r="H9" s="21">
        <f>SUM(H6:H8)</f>
        <v>73709</v>
      </c>
      <c r="M9" s="194">
        <v>8</v>
      </c>
      <c r="N9" s="31" t="s">
        <v>44</v>
      </c>
      <c r="O9" s="32">
        <f>C40</f>
        <v>645</v>
      </c>
    </row>
    <row r="10" spans="1:15" x14ac:dyDescent="0.2">
      <c r="A10" s="27">
        <v>9</v>
      </c>
      <c r="B10" s="28" t="s">
        <v>42</v>
      </c>
      <c r="C10" s="30">
        <v>1371</v>
      </c>
      <c r="D10" s="12"/>
      <c r="M10" s="194">
        <v>9</v>
      </c>
      <c r="N10" s="28" t="s">
        <v>57</v>
      </c>
      <c r="O10" s="29">
        <f>C4</f>
        <v>485</v>
      </c>
    </row>
    <row r="11" spans="1:15" x14ac:dyDescent="0.2">
      <c r="A11" s="27">
        <v>10</v>
      </c>
      <c r="B11" s="28" t="s">
        <v>23</v>
      </c>
      <c r="C11" s="30">
        <v>118</v>
      </c>
      <c r="D11" s="17"/>
      <c r="M11" s="194">
        <v>10</v>
      </c>
      <c r="N11" s="31" t="s">
        <v>37</v>
      </c>
      <c r="O11" s="32">
        <f>C41</f>
        <v>1263</v>
      </c>
    </row>
    <row r="12" spans="1:15" x14ac:dyDescent="0.2">
      <c r="A12" s="27">
        <v>11</v>
      </c>
      <c r="B12" s="28" t="s">
        <v>22</v>
      </c>
      <c r="C12" s="30">
        <v>7167</v>
      </c>
      <c r="D12" s="17"/>
      <c r="M12" s="194">
        <v>11</v>
      </c>
      <c r="N12" s="31" t="s">
        <v>51</v>
      </c>
      <c r="O12" s="32">
        <f>C42</f>
        <v>740</v>
      </c>
    </row>
    <row r="13" spans="1:15" x14ac:dyDescent="0.2">
      <c r="A13" s="27">
        <v>12</v>
      </c>
      <c r="B13" s="28" t="s">
        <v>13</v>
      </c>
      <c r="C13" s="30">
        <v>528</v>
      </c>
      <c r="D13" s="17"/>
      <c r="M13" s="194">
        <v>12</v>
      </c>
      <c r="N13" s="31" t="s">
        <v>8</v>
      </c>
      <c r="O13" s="32">
        <f>C43</f>
        <v>1028</v>
      </c>
    </row>
    <row r="14" spans="1:15" x14ac:dyDescent="0.2">
      <c r="A14" s="27">
        <v>13</v>
      </c>
      <c r="B14" s="28" t="s">
        <v>17</v>
      </c>
      <c r="C14" s="30">
        <v>108</v>
      </c>
      <c r="D14" s="17"/>
      <c r="M14" s="194">
        <v>13</v>
      </c>
      <c r="N14" s="28" t="s">
        <v>53</v>
      </c>
      <c r="O14" s="29">
        <f>C5</f>
        <v>446</v>
      </c>
    </row>
    <row r="15" spans="1:15" x14ac:dyDescent="0.2">
      <c r="A15" s="27">
        <v>14</v>
      </c>
      <c r="B15" s="28" t="s">
        <v>43</v>
      </c>
      <c r="C15" s="30">
        <v>415</v>
      </c>
      <c r="D15" s="17"/>
      <c r="M15" s="194">
        <v>14</v>
      </c>
      <c r="N15" s="31" t="s">
        <v>24</v>
      </c>
      <c r="O15" s="32">
        <f>C44</f>
        <v>314</v>
      </c>
    </row>
    <row r="16" spans="1:15" x14ac:dyDescent="0.2">
      <c r="A16" s="27">
        <v>15</v>
      </c>
      <c r="B16" s="28" t="s">
        <v>40</v>
      </c>
      <c r="C16" s="30">
        <v>349</v>
      </c>
      <c r="D16" s="17"/>
      <c r="M16" s="194">
        <v>15</v>
      </c>
      <c r="N16" s="31" t="s">
        <v>9</v>
      </c>
      <c r="O16" s="32">
        <f>C45</f>
        <v>2400</v>
      </c>
    </row>
    <row r="17" spans="1:15" x14ac:dyDescent="0.2">
      <c r="A17" s="27">
        <v>16</v>
      </c>
      <c r="B17" s="28" t="s">
        <v>31</v>
      </c>
      <c r="C17" s="30">
        <v>687</v>
      </c>
      <c r="D17" s="17"/>
      <c r="M17" s="194">
        <v>16</v>
      </c>
      <c r="N17" s="28" t="s">
        <v>33</v>
      </c>
      <c r="O17" s="29">
        <f>C6</f>
        <v>3631</v>
      </c>
    </row>
    <row r="18" spans="1:15" x14ac:dyDescent="0.2">
      <c r="A18" s="27">
        <v>17</v>
      </c>
      <c r="B18" s="28" t="s">
        <v>12</v>
      </c>
      <c r="C18" s="30">
        <v>255</v>
      </c>
      <c r="D18" s="17"/>
      <c r="M18" s="194">
        <v>17</v>
      </c>
      <c r="N18" s="28" t="s">
        <v>10</v>
      </c>
      <c r="O18" s="29">
        <f>C7</f>
        <v>3313</v>
      </c>
    </row>
    <row r="19" spans="1:15" x14ac:dyDescent="0.2">
      <c r="A19" s="27">
        <v>18</v>
      </c>
      <c r="B19" s="28" t="s">
        <v>59</v>
      </c>
      <c r="C19" s="30">
        <v>436</v>
      </c>
      <c r="D19" s="17"/>
      <c r="M19" s="194">
        <v>18</v>
      </c>
      <c r="N19" s="31" t="s">
        <v>62</v>
      </c>
      <c r="O19" s="32">
        <f>C46</f>
        <v>755</v>
      </c>
    </row>
    <row r="20" spans="1:15" x14ac:dyDescent="0.2">
      <c r="A20" s="27">
        <v>19</v>
      </c>
      <c r="B20" s="28" t="s">
        <v>27</v>
      </c>
      <c r="C20" s="30">
        <v>3190</v>
      </c>
      <c r="D20" s="17"/>
      <c r="M20" s="194">
        <v>19</v>
      </c>
      <c r="N20" s="28" t="s">
        <v>15</v>
      </c>
      <c r="O20" s="29">
        <f>C8</f>
        <v>2644</v>
      </c>
    </row>
    <row r="21" spans="1:15" x14ac:dyDescent="0.2">
      <c r="A21" s="24">
        <v>20</v>
      </c>
      <c r="B21" s="25" t="s">
        <v>30</v>
      </c>
      <c r="C21" s="26">
        <v>324</v>
      </c>
      <c r="D21" s="17"/>
      <c r="M21" s="194">
        <v>20</v>
      </c>
      <c r="N21" s="31" t="s">
        <v>46</v>
      </c>
      <c r="O21" s="32">
        <f>C47</f>
        <v>181</v>
      </c>
    </row>
    <row r="22" spans="1:15" x14ac:dyDescent="0.2">
      <c r="A22" s="24">
        <v>21</v>
      </c>
      <c r="B22" s="25" t="s">
        <v>20</v>
      </c>
      <c r="C22" s="26">
        <v>1246</v>
      </c>
      <c r="D22" s="17"/>
      <c r="M22" s="194">
        <v>21</v>
      </c>
      <c r="N22" s="28" t="s">
        <v>28</v>
      </c>
      <c r="O22" s="30">
        <f>C9</f>
        <v>12618</v>
      </c>
    </row>
    <row r="23" spans="1:15" x14ac:dyDescent="0.2">
      <c r="A23" s="24">
        <v>22</v>
      </c>
      <c r="B23" s="25" t="s">
        <v>45</v>
      </c>
      <c r="C23" s="26">
        <v>1528</v>
      </c>
      <c r="D23" s="17"/>
      <c r="E23" s="12"/>
      <c r="M23" s="194">
        <v>22</v>
      </c>
      <c r="N23" s="28" t="s">
        <v>42</v>
      </c>
      <c r="O23" s="30">
        <f>C10</f>
        <v>1371</v>
      </c>
    </row>
    <row r="24" spans="1:15" x14ac:dyDescent="0.2">
      <c r="A24" s="24">
        <v>23</v>
      </c>
      <c r="B24" s="25" t="s">
        <v>71</v>
      </c>
      <c r="C24" s="26">
        <v>96</v>
      </c>
      <c r="D24" s="17"/>
      <c r="M24" s="194">
        <v>23</v>
      </c>
      <c r="N24" s="28" t="s">
        <v>23</v>
      </c>
      <c r="O24" s="30">
        <f>C11</f>
        <v>118</v>
      </c>
    </row>
    <row r="25" spans="1:15" x14ac:dyDescent="0.2">
      <c r="A25" s="24">
        <v>24</v>
      </c>
      <c r="B25" s="25" t="s">
        <v>39</v>
      </c>
      <c r="C25" s="26">
        <v>149</v>
      </c>
      <c r="D25" s="17"/>
      <c r="M25" s="194">
        <v>24</v>
      </c>
      <c r="N25" s="31" t="s">
        <v>35</v>
      </c>
      <c r="O25" s="32">
        <f>C48</f>
        <v>347</v>
      </c>
    </row>
    <row r="26" spans="1:15" x14ac:dyDescent="0.2">
      <c r="A26" s="24">
        <v>25</v>
      </c>
      <c r="B26" s="25" t="s">
        <v>19</v>
      </c>
      <c r="C26" s="26">
        <v>516</v>
      </c>
      <c r="D26" s="17"/>
      <c r="M26" s="194">
        <v>25</v>
      </c>
      <c r="N26" s="31" t="s">
        <v>49</v>
      </c>
      <c r="O26" s="32">
        <f>C49</f>
        <v>1690</v>
      </c>
    </row>
    <row r="27" spans="1:15" x14ac:dyDescent="0.2">
      <c r="A27" s="24">
        <v>26</v>
      </c>
      <c r="B27" s="25" t="s">
        <v>41</v>
      </c>
      <c r="C27" s="26">
        <v>671</v>
      </c>
      <c r="D27" s="17"/>
      <c r="M27" s="194">
        <v>26</v>
      </c>
      <c r="N27" s="31" t="s">
        <v>47</v>
      </c>
      <c r="O27" s="32">
        <f>C50</f>
        <v>387</v>
      </c>
    </row>
    <row r="28" spans="1:15" x14ac:dyDescent="0.2">
      <c r="A28" s="24">
        <v>27</v>
      </c>
      <c r="B28" s="25" t="s">
        <v>36</v>
      </c>
      <c r="C28" s="26">
        <v>572</v>
      </c>
      <c r="D28" s="17"/>
      <c r="M28" s="194">
        <v>27</v>
      </c>
      <c r="N28" s="31" t="s">
        <v>58</v>
      </c>
      <c r="O28" s="32">
        <f>C51</f>
        <v>1096</v>
      </c>
    </row>
    <row r="29" spans="1:15" x14ac:dyDescent="0.2">
      <c r="A29" s="24">
        <v>28</v>
      </c>
      <c r="B29" s="25" t="s">
        <v>7</v>
      </c>
      <c r="C29" s="26">
        <v>490</v>
      </c>
      <c r="D29" s="17"/>
      <c r="M29" s="194">
        <v>28</v>
      </c>
      <c r="N29" s="28" t="s">
        <v>22</v>
      </c>
      <c r="O29" s="30">
        <f>C12</f>
        <v>7167</v>
      </c>
    </row>
    <row r="30" spans="1:15" x14ac:dyDescent="0.2">
      <c r="A30" s="24">
        <v>29</v>
      </c>
      <c r="B30" s="25" t="s">
        <v>55</v>
      </c>
      <c r="C30" s="26">
        <v>1914</v>
      </c>
      <c r="D30" s="17"/>
      <c r="M30" s="194">
        <v>29</v>
      </c>
      <c r="N30" s="31" t="s">
        <v>14</v>
      </c>
      <c r="O30" s="32">
        <f>C35</f>
        <v>1135</v>
      </c>
    </row>
    <row r="31" spans="1:15" x14ac:dyDescent="0.2">
      <c r="A31" s="24">
        <v>30</v>
      </c>
      <c r="B31" s="25" t="s">
        <v>21</v>
      </c>
      <c r="C31" s="26">
        <v>2615</v>
      </c>
      <c r="D31" s="17"/>
      <c r="M31" s="194">
        <v>30</v>
      </c>
      <c r="N31" s="25" t="s">
        <v>71</v>
      </c>
      <c r="O31" s="26">
        <f>C24</f>
        <v>96</v>
      </c>
    </row>
    <row r="32" spans="1:15" x14ac:dyDescent="0.2">
      <c r="A32" s="24">
        <v>31</v>
      </c>
      <c r="B32" s="25" t="s">
        <v>6</v>
      </c>
      <c r="C32" s="26">
        <v>227</v>
      </c>
      <c r="D32" s="17"/>
      <c r="M32" s="194">
        <v>31</v>
      </c>
      <c r="N32" s="25" t="s">
        <v>41</v>
      </c>
      <c r="O32" s="26">
        <f>C27</f>
        <v>671</v>
      </c>
    </row>
    <row r="33" spans="1:15" x14ac:dyDescent="0.2">
      <c r="A33" s="24">
        <v>32</v>
      </c>
      <c r="B33" s="25" t="s">
        <v>34</v>
      </c>
      <c r="C33" s="26">
        <v>131</v>
      </c>
      <c r="D33" s="17"/>
      <c r="M33" s="194">
        <v>32</v>
      </c>
      <c r="N33" s="25" t="s">
        <v>30</v>
      </c>
      <c r="O33" s="26">
        <f>C21</f>
        <v>324</v>
      </c>
    </row>
    <row r="34" spans="1:15" x14ac:dyDescent="0.2">
      <c r="A34" s="19">
        <v>33</v>
      </c>
      <c r="B34" s="31" t="s">
        <v>52</v>
      </c>
      <c r="C34" s="32">
        <v>1895</v>
      </c>
      <c r="D34" s="17"/>
      <c r="M34" s="194">
        <v>33</v>
      </c>
      <c r="N34" s="25" t="s">
        <v>55</v>
      </c>
      <c r="O34" s="26">
        <f>C30</f>
        <v>1914</v>
      </c>
    </row>
    <row r="35" spans="1:15" x14ac:dyDescent="0.2">
      <c r="A35" s="19">
        <v>34</v>
      </c>
      <c r="B35" s="31" t="s">
        <v>14</v>
      </c>
      <c r="C35" s="32">
        <v>1135</v>
      </c>
      <c r="D35" s="17"/>
      <c r="M35" s="194">
        <v>34</v>
      </c>
      <c r="N35" s="25" t="s">
        <v>20</v>
      </c>
      <c r="O35" s="26">
        <f>C22</f>
        <v>1246</v>
      </c>
    </row>
    <row r="36" spans="1:15" x14ac:dyDescent="0.2">
      <c r="A36" s="19">
        <v>35</v>
      </c>
      <c r="B36" s="31" t="s">
        <v>32</v>
      </c>
      <c r="C36" s="32">
        <v>1241</v>
      </c>
      <c r="D36" s="17"/>
      <c r="E36" s="12"/>
      <c r="M36" s="194">
        <v>35</v>
      </c>
      <c r="N36" s="25" t="s">
        <v>45</v>
      </c>
      <c r="O36" s="26">
        <f>C23</f>
        <v>1528</v>
      </c>
    </row>
    <row r="37" spans="1:15" x14ac:dyDescent="0.2">
      <c r="A37" s="19">
        <v>36</v>
      </c>
      <c r="B37" s="31" t="s">
        <v>29</v>
      </c>
      <c r="C37" s="32">
        <v>119</v>
      </c>
      <c r="D37" s="17"/>
      <c r="M37" s="194">
        <v>36</v>
      </c>
      <c r="N37" s="25" t="s">
        <v>39</v>
      </c>
      <c r="O37" s="26">
        <f>C25</f>
        <v>149</v>
      </c>
    </row>
    <row r="38" spans="1:15" x14ac:dyDescent="0.2">
      <c r="A38" s="19">
        <v>37</v>
      </c>
      <c r="B38" s="31" t="s">
        <v>26</v>
      </c>
      <c r="C38" s="32">
        <v>1195</v>
      </c>
      <c r="D38" s="17"/>
      <c r="M38" s="194">
        <v>37</v>
      </c>
      <c r="N38" s="25" t="s">
        <v>19</v>
      </c>
      <c r="O38" s="26">
        <f>C26</f>
        <v>516</v>
      </c>
    </row>
    <row r="39" spans="1:15" x14ac:dyDescent="0.2">
      <c r="A39" s="19">
        <v>38</v>
      </c>
      <c r="B39" s="31" t="s">
        <v>48</v>
      </c>
      <c r="C39" s="32">
        <v>663</v>
      </c>
      <c r="D39" s="17"/>
      <c r="M39" s="194">
        <v>38</v>
      </c>
      <c r="N39" s="31" t="s">
        <v>50</v>
      </c>
      <c r="O39" s="16">
        <f>C52</f>
        <v>188</v>
      </c>
    </row>
    <row r="40" spans="1:15" x14ac:dyDescent="0.2">
      <c r="A40" s="19">
        <v>39</v>
      </c>
      <c r="B40" s="31" t="s">
        <v>44</v>
      </c>
      <c r="C40" s="32">
        <v>645</v>
      </c>
      <c r="D40" s="17"/>
      <c r="M40" s="194">
        <v>39</v>
      </c>
      <c r="N40" s="28" t="s">
        <v>13</v>
      </c>
      <c r="O40" s="30">
        <f>C13</f>
        <v>528</v>
      </c>
    </row>
    <row r="41" spans="1:15" x14ac:dyDescent="0.2">
      <c r="A41" s="19">
        <v>40</v>
      </c>
      <c r="B41" s="31" t="s">
        <v>37</v>
      </c>
      <c r="C41" s="32">
        <v>1263</v>
      </c>
      <c r="D41" s="17"/>
      <c r="M41" s="194">
        <v>40</v>
      </c>
      <c r="N41" s="28" t="s">
        <v>17</v>
      </c>
      <c r="O41" s="30">
        <f>C14</f>
        <v>108</v>
      </c>
    </row>
    <row r="42" spans="1:15" x14ac:dyDescent="0.2">
      <c r="A42" s="19">
        <v>41</v>
      </c>
      <c r="B42" s="31" t="s">
        <v>51</v>
      </c>
      <c r="C42" s="32">
        <v>740</v>
      </c>
      <c r="D42" s="17"/>
      <c r="M42" s="194">
        <v>41</v>
      </c>
      <c r="N42" s="25" t="s">
        <v>36</v>
      </c>
      <c r="O42" s="26">
        <f>C28</f>
        <v>572</v>
      </c>
    </row>
    <row r="43" spans="1:15" x14ac:dyDescent="0.2">
      <c r="A43" s="19">
        <v>42</v>
      </c>
      <c r="B43" s="31" t="s">
        <v>8</v>
      </c>
      <c r="C43" s="32">
        <v>1028</v>
      </c>
      <c r="D43" s="17"/>
      <c r="M43" s="194">
        <v>42</v>
      </c>
      <c r="N43" s="28" t="s">
        <v>43</v>
      </c>
      <c r="O43" s="30">
        <f>C15</f>
        <v>415</v>
      </c>
    </row>
    <row r="44" spans="1:15" x14ac:dyDescent="0.2">
      <c r="A44" s="19">
        <v>43</v>
      </c>
      <c r="B44" s="31" t="s">
        <v>24</v>
      </c>
      <c r="C44" s="32">
        <v>314</v>
      </c>
      <c r="D44" s="17"/>
      <c r="M44" s="194">
        <v>43</v>
      </c>
      <c r="N44" s="25" t="s">
        <v>7</v>
      </c>
      <c r="O44" s="26">
        <f>C29</f>
        <v>490</v>
      </c>
    </row>
    <row r="45" spans="1:15" x14ac:dyDescent="0.2">
      <c r="A45" s="19">
        <v>44</v>
      </c>
      <c r="B45" s="31" t="s">
        <v>9</v>
      </c>
      <c r="C45" s="32">
        <v>2400</v>
      </c>
      <c r="D45" s="17"/>
      <c r="M45" s="194">
        <v>44</v>
      </c>
      <c r="N45" s="28" t="s">
        <v>40</v>
      </c>
      <c r="O45" s="30">
        <f>C16</f>
        <v>349</v>
      </c>
    </row>
    <row r="46" spans="1:15" x14ac:dyDescent="0.2">
      <c r="A46" s="19">
        <v>45</v>
      </c>
      <c r="B46" s="31" t="s">
        <v>62</v>
      </c>
      <c r="C46" s="32">
        <v>755</v>
      </c>
      <c r="D46" s="17"/>
      <c r="M46" s="194">
        <v>45</v>
      </c>
      <c r="N46" s="31" t="s">
        <v>16</v>
      </c>
      <c r="O46" s="16">
        <f>C53</f>
        <v>6434</v>
      </c>
    </row>
    <row r="47" spans="1:15" x14ac:dyDescent="0.2">
      <c r="A47" s="19">
        <v>46</v>
      </c>
      <c r="B47" s="31" t="s">
        <v>46</v>
      </c>
      <c r="C47" s="32">
        <v>181</v>
      </c>
      <c r="D47" s="17"/>
      <c r="M47" s="194">
        <v>46</v>
      </c>
      <c r="N47" s="28" t="s">
        <v>31</v>
      </c>
      <c r="O47" s="30">
        <f>C17</f>
        <v>687</v>
      </c>
    </row>
    <row r="48" spans="1:15" x14ac:dyDescent="0.2">
      <c r="A48" s="19">
        <v>47</v>
      </c>
      <c r="B48" s="31" t="s">
        <v>35</v>
      </c>
      <c r="C48" s="32">
        <v>347</v>
      </c>
      <c r="D48" s="17"/>
      <c r="M48" s="194">
        <v>47</v>
      </c>
      <c r="N48" s="25" t="s">
        <v>21</v>
      </c>
      <c r="O48" s="26">
        <f>C31</f>
        <v>2615</v>
      </c>
    </row>
    <row r="49" spans="1:15" x14ac:dyDescent="0.2">
      <c r="A49" s="19">
        <v>48</v>
      </c>
      <c r="B49" s="31" t="s">
        <v>49</v>
      </c>
      <c r="C49" s="32">
        <v>1690</v>
      </c>
      <c r="D49" s="17"/>
      <c r="M49" s="194">
        <v>48</v>
      </c>
      <c r="N49" s="25" t="s">
        <v>6</v>
      </c>
      <c r="O49" s="26">
        <f>C32</f>
        <v>227</v>
      </c>
    </row>
    <row r="50" spans="1:15" x14ac:dyDescent="0.2">
      <c r="A50" s="19">
        <v>49</v>
      </c>
      <c r="B50" s="31" t="s">
        <v>47</v>
      </c>
      <c r="C50" s="32">
        <v>387</v>
      </c>
      <c r="D50" s="17"/>
      <c r="M50" s="194">
        <v>49</v>
      </c>
      <c r="N50" s="28" t="s">
        <v>12</v>
      </c>
      <c r="O50" s="30">
        <f>C18</f>
        <v>255</v>
      </c>
    </row>
    <row r="51" spans="1:15" x14ac:dyDescent="0.2">
      <c r="A51" s="19">
        <v>50</v>
      </c>
      <c r="B51" s="31" t="s">
        <v>58</v>
      </c>
      <c r="C51" s="32">
        <v>1096</v>
      </c>
      <c r="D51" s="17"/>
      <c r="M51" s="194">
        <v>50</v>
      </c>
      <c r="N51" s="25" t="s">
        <v>34</v>
      </c>
      <c r="O51" s="26">
        <f>C33</f>
        <v>131</v>
      </c>
    </row>
    <row r="52" spans="1:15" x14ac:dyDescent="0.2">
      <c r="A52" s="19">
        <v>51</v>
      </c>
      <c r="B52" s="31" t="s">
        <v>50</v>
      </c>
      <c r="C52" s="16">
        <v>188</v>
      </c>
      <c r="D52" s="17"/>
      <c r="M52" s="194">
        <v>51</v>
      </c>
      <c r="N52" s="28" t="s">
        <v>59</v>
      </c>
      <c r="O52" s="30">
        <f>C19</f>
        <v>436</v>
      </c>
    </row>
    <row r="53" spans="1:15" x14ac:dyDescent="0.2">
      <c r="A53" s="19">
        <v>52</v>
      </c>
      <c r="B53" s="31" t="s">
        <v>16</v>
      </c>
      <c r="C53" s="16">
        <v>6434</v>
      </c>
      <c r="D53" s="17"/>
      <c r="M53" s="194">
        <v>52</v>
      </c>
      <c r="N53" s="28" t="s">
        <v>27</v>
      </c>
      <c r="O53" s="30">
        <f>C20</f>
        <v>3190</v>
      </c>
    </row>
    <row r="54" spans="1:15" x14ac:dyDescent="0.2">
      <c r="A54" s="19">
        <v>53</v>
      </c>
      <c r="B54" s="31" t="s">
        <v>25</v>
      </c>
      <c r="C54" s="33">
        <v>560</v>
      </c>
      <c r="D54" s="17"/>
      <c r="M54" s="194">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7">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1">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4">
        <f t="shared" si="43"/>
        <v>2257613.4299999992</v>
      </c>
      <c r="BH216" s="204">
        <f t="shared" si="44"/>
        <v>-1986621.7200000004</v>
      </c>
      <c r="BI216" s="204">
        <f t="shared" si="45"/>
        <v>3830148.2800000003</v>
      </c>
      <c r="BJ216" s="204">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9">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4">
        <f t="shared" si="43"/>
        <v>85593122.990000024</v>
      </c>
      <c r="BH217" s="204">
        <f t="shared" si="44"/>
        <v>21034620.32</v>
      </c>
      <c r="BI217" s="204">
        <f t="shared" si="45"/>
        <v>25511532.739999998</v>
      </c>
      <c r="BJ217" s="204">
        <f t="shared" si="46"/>
        <v>39046969.929999992</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2">
        <f>F220+F221</f>
        <v>338069</v>
      </c>
      <c r="G223" s="182">
        <f t="shared" ref="G223:BJ223" si="53">G220+G221</f>
        <v>183367.53000000003</v>
      </c>
      <c r="H223" s="182">
        <f t="shared" si="53"/>
        <v>-29321.279999999999</v>
      </c>
      <c r="I223" s="182">
        <f t="shared" si="53"/>
        <v>35050.58</v>
      </c>
      <c r="J223" s="182">
        <f t="shared" si="53"/>
        <v>461623.62999999995</v>
      </c>
      <c r="K223" s="182">
        <f t="shared" si="53"/>
        <v>1051215.94</v>
      </c>
      <c r="L223" s="182">
        <f t="shared" si="53"/>
        <v>253856.48</v>
      </c>
      <c r="M223" s="182">
        <f t="shared" si="53"/>
        <v>2089673.1800000002</v>
      </c>
      <c r="N223" s="182">
        <f t="shared" si="53"/>
        <v>-1352.8600000000151</v>
      </c>
      <c r="O223" s="182">
        <f t="shared" si="53"/>
        <v>-63918.92</v>
      </c>
      <c r="P223" s="182">
        <f t="shared" si="53"/>
        <v>-1177403.47</v>
      </c>
      <c r="Q223" s="182">
        <f t="shared" si="53"/>
        <v>-93731.8</v>
      </c>
      <c r="R223" s="182">
        <f t="shared" si="53"/>
        <v>-9460.8100000000013</v>
      </c>
      <c r="S223" s="182">
        <f t="shared" si="53"/>
        <v>-16853.579999999998</v>
      </c>
      <c r="T223" s="182">
        <f t="shared" si="53"/>
        <v>-13071.369999999995</v>
      </c>
      <c r="U223" s="182">
        <f t="shared" si="53"/>
        <v>262757.42</v>
      </c>
      <c r="V223" s="182">
        <f t="shared" si="53"/>
        <v>9048.7099999999991</v>
      </c>
      <c r="W223" s="182">
        <f t="shared" si="53"/>
        <v>-152377.16</v>
      </c>
      <c r="X223" s="182">
        <f t="shared" si="53"/>
        <v>364711.41000000003</v>
      </c>
      <c r="Y223" s="182">
        <f t="shared" si="53"/>
        <v>26286.14</v>
      </c>
      <c r="Z223" s="182">
        <f t="shared" si="53"/>
        <v>178997.68</v>
      </c>
      <c r="AA223" s="182">
        <f t="shared" si="53"/>
        <v>3517719.9899999998</v>
      </c>
      <c r="AB223" s="182">
        <f t="shared" si="53"/>
        <v>-11170.27</v>
      </c>
      <c r="AC223" s="182">
        <f t="shared" si="53"/>
        <v>41421.78</v>
      </c>
      <c r="AD223" s="182">
        <f t="shared" si="53"/>
        <v>-114596.97</v>
      </c>
      <c r="AE223" s="182">
        <f t="shared" si="53"/>
        <v>-99000.459999999992</v>
      </c>
      <c r="AF223" s="182">
        <f t="shared" si="53"/>
        <v>-194273.68</v>
      </c>
      <c r="AG223" s="182">
        <f t="shared" si="53"/>
        <v>122538.76</v>
      </c>
      <c r="AH223" s="182">
        <f t="shared" si="53"/>
        <v>1107210.3</v>
      </c>
      <c r="AI223" s="182">
        <f t="shared" si="53"/>
        <v>243887.35</v>
      </c>
      <c r="AJ223" s="182">
        <f t="shared" si="53"/>
        <v>-60989.77</v>
      </c>
      <c r="AK223" s="182">
        <f t="shared" si="53"/>
        <v>22586.400000000001</v>
      </c>
      <c r="AL223" s="182">
        <f t="shared" si="53"/>
        <v>153720</v>
      </c>
      <c r="AM223" s="182">
        <f t="shared" si="53"/>
        <v>-32824.589999999997</v>
      </c>
      <c r="AN223" s="182">
        <f t="shared" si="53"/>
        <v>-5589.7700000000041</v>
      </c>
      <c r="AO223" s="182">
        <f t="shared" si="53"/>
        <v>13711.05</v>
      </c>
      <c r="AP223" s="182">
        <f t="shared" si="53"/>
        <v>341994.52</v>
      </c>
      <c r="AQ223" s="182">
        <f t="shared" si="53"/>
        <v>197653.74000000002</v>
      </c>
      <c r="AR223" s="182">
        <f t="shared" si="53"/>
        <v>23915.769999999997</v>
      </c>
      <c r="AS223" s="182">
        <f t="shared" si="53"/>
        <v>50671.79</v>
      </c>
      <c r="AT223" s="182">
        <f t="shared" si="53"/>
        <v>16082.760000000002</v>
      </c>
      <c r="AU223" s="182">
        <f t="shared" si="53"/>
        <v>35118.03</v>
      </c>
      <c r="AV223" s="182">
        <f t="shared" si="53"/>
        <v>112815.42</v>
      </c>
      <c r="AW223" s="182">
        <f t="shared" si="53"/>
        <v>-268507.58</v>
      </c>
      <c r="AX223" s="182">
        <f t="shared" si="53"/>
        <v>-9064.0300000000025</v>
      </c>
      <c r="AY223" s="182">
        <f t="shared" si="53"/>
        <v>29819.599999999999</v>
      </c>
      <c r="AZ223" s="182">
        <f t="shared" si="53"/>
        <v>73689.049999999988</v>
      </c>
      <c r="BA223" s="182">
        <f t="shared" si="53"/>
        <v>79042.83</v>
      </c>
      <c r="BB223" s="182">
        <f t="shared" si="53"/>
        <v>160878.04999999999</v>
      </c>
      <c r="BC223" s="182">
        <f t="shared" si="53"/>
        <v>192186.95</v>
      </c>
      <c r="BD223" s="182">
        <f t="shared" si="53"/>
        <v>-12634.7</v>
      </c>
      <c r="BE223" s="182">
        <f t="shared" si="53"/>
        <v>1253727.51</v>
      </c>
      <c r="BF223" s="182">
        <f t="shared" si="53"/>
        <v>67948.679999999993</v>
      </c>
      <c r="BG223" s="182">
        <f t="shared" si="53"/>
        <v>10746854.960000003</v>
      </c>
      <c r="BH223" s="182">
        <f t="shared" si="53"/>
        <v>3491882.63</v>
      </c>
      <c r="BI223" s="182">
        <f t="shared" si="53"/>
        <v>4780617.25</v>
      </c>
      <c r="BJ223" s="182">
        <f t="shared" si="53"/>
        <v>2474355.08</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8">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5" t="s">
        <v>268</v>
      </c>
      <c r="E2" s="89">
        <f>'5.2 Tableau bilan'!F188</f>
        <v>91838538.320000038</v>
      </c>
    </row>
    <row r="3" spans="2:5" x14ac:dyDescent="0.25">
      <c r="B3" s="78">
        <v>291</v>
      </c>
      <c r="C3" s="78"/>
      <c r="D3" s="135" t="s">
        <v>269</v>
      </c>
      <c r="E3" s="89">
        <f>'5.2 Tableau bilan'!F191</f>
        <v>5824194.0499999998</v>
      </c>
    </row>
    <row r="4" spans="2:5" x14ac:dyDescent="0.25">
      <c r="B4" s="78">
        <v>292</v>
      </c>
      <c r="C4" s="78"/>
      <c r="D4" s="135" t="s">
        <v>270</v>
      </c>
      <c r="E4" s="89">
        <f>'5.2 Tableau bilan'!F195</f>
        <v>2171523.7999999998</v>
      </c>
    </row>
    <row r="5" spans="2:5" x14ac:dyDescent="0.25">
      <c r="B5" s="78">
        <v>293</v>
      </c>
      <c r="C5" s="78"/>
      <c r="D5" s="135" t="s">
        <v>271</v>
      </c>
      <c r="E5" s="89">
        <f>'5.2 Tableau bilan'!F198</f>
        <v>5019487.7799999993</v>
      </c>
    </row>
    <row r="6" spans="2:5" x14ac:dyDescent="0.25">
      <c r="B6" s="78">
        <v>294</v>
      </c>
      <c r="C6" s="78"/>
      <c r="D6" s="135" t="s">
        <v>272</v>
      </c>
      <c r="E6" s="89">
        <f>'5.2 Tableau bilan'!F201</f>
        <v>31038418.739999998</v>
      </c>
    </row>
    <row r="7" spans="2:5" x14ac:dyDescent="0.25">
      <c r="B7" s="78">
        <v>295</v>
      </c>
      <c r="C7" s="78"/>
      <c r="D7" s="135" t="s">
        <v>273</v>
      </c>
      <c r="E7" s="89">
        <f>'5.2 Tableau bilan'!F204</f>
        <v>96130.319999999992</v>
      </c>
    </row>
    <row r="8" spans="2:5" x14ac:dyDescent="0.25">
      <c r="B8" s="78">
        <v>296</v>
      </c>
      <c r="C8" s="78"/>
      <c r="D8" s="135" t="s">
        <v>274</v>
      </c>
      <c r="E8" s="89">
        <f>'5.2 Tableau bilan'!F207</f>
        <v>16454611.33</v>
      </c>
    </row>
    <row r="9" spans="2:5" x14ac:dyDescent="0.25">
      <c r="B9" s="78">
        <v>298</v>
      </c>
      <c r="C9" s="78"/>
      <c r="D9" s="135" t="s">
        <v>275</v>
      </c>
      <c r="E9" s="89">
        <f>'5.2 Tableau bilan'!F210</f>
        <v>146786.6</v>
      </c>
    </row>
    <row r="10" spans="2:5" x14ac:dyDescent="0.25">
      <c r="B10" s="78">
        <v>299</v>
      </c>
      <c r="C10" s="78"/>
      <c r="D10" s="135" t="s">
        <v>453</v>
      </c>
      <c r="E10" s="89">
        <f>'5.2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BD20/BD5</f>
        <v>7972.8417539242164</v>
      </c>
      <c r="BE21" s="174">
        <f t="shared" ref="BE21:BG21" si="5">BE20/BE5</f>
        <v>7806.7980358884834</v>
      </c>
      <c r="BF21" s="174">
        <f t="shared" si="5"/>
        <v>6683.1131606069266</v>
      </c>
      <c r="BG21" s="174">
        <f t="shared" si="5"/>
        <v>8796.005904597132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6">D9-D7</f>
        <v>1153471.1100000001</v>
      </c>
      <c r="E23" s="181">
        <f t="shared" si="6"/>
        <v>2152345.7399999993</v>
      </c>
      <c r="F23" s="181">
        <f t="shared" si="6"/>
        <v>279098.55999999959</v>
      </c>
      <c r="G23" s="181">
        <f t="shared" si="6"/>
        <v>11170166.720000001</v>
      </c>
      <c r="H23" s="181">
        <f t="shared" si="6"/>
        <v>16907788.280000001</v>
      </c>
      <c r="I23" s="181">
        <f t="shared" si="6"/>
        <v>1024849.9700000007</v>
      </c>
      <c r="J23" s="181">
        <f t="shared" si="6"/>
        <v>90861759.809999973</v>
      </c>
      <c r="K23" s="181">
        <f t="shared" si="6"/>
        <v>3075283.87</v>
      </c>
      <c r="L23" s="181">
        <f t="shared" si="6"/>
        <v>460672.40000000008</v>
      </c>
      <c r="M23" s="181">
        <f t="shared" si="6"/>
        <v>26943371.269999996</v>
      </c>
      <c r="N23" s="181">
        <f t="shared" si="6"/>
        <v>1367293.8900000001</v>
      </c>
      <c r="O23" s="181">
        <f t="shared" si="6"/>
        <v>245034.49999999994</v>
      </c>
      <c r="P23" s="181">
        <f t="shared" si="6"/>
        <v>1875698.62</v>
      </c>
      <c r="Q23" s="181">
        <f t="shared" si="6"/>
        <v>2088445.9300000002</v>
      </c>
      <c r="R23" s="181">
        <f t="shared" si="6"/>
        <v>205440.33000000101</v>
      </c>
      <c r="S23" s="181">
        <f t="shared" si="6"/>
        <v>266671.21000000008</v>
      </c>
      <c r="T23" s="181">
        <f t="shared" si="6"/>
        <v>1745113.8100000005</v>
      </c>
      <c r="U23" s="181">
        <f t="shared" si="6"/>
        <v>10830665.34</v>
      </c>
      <c r="V23" s="181">
        <f t="shared" si="6"/>
        <v>-1080510.5</v>
      </c>
      <c r="W23" s="181">
        <f t="shared" si="6"/>
        <v>7786577.9200000009</v>
      </c>
      <c r="X23" s="181">
        <f t="shared" si="6"/>
        <v>-9330221.8099999987</v>
      </c>
      <c r="Y23" s="181">
        <f t="shared" si="6"/>
        <v>135991.01</v>
      </c>
      <c r="Z23" s="181">
        <f t="shared" si="6"/>
        <v>-394266.68000000017</v>
      </c>
      <c r="AA23" s="181">
        <f t="shared" si="6"/>
        <v>795544.37999999942</v>
      </c>
      <c r="AB23" s="181">
        <f t="shared" si="6"/>
        <v>5398506.4100000011</v>
      </c>
      <c r="AC23" s="181">
        <f t="shared" si="6"/>
        <v>1285721.0300000003</v>
      </c>
      <c r="AD23" s="181">
        <f t="shared" si="6"/>
        <v>-3100962.9499999997</v>
      </c>
      <c r="AE23" s="181">
        <f t="shared" si="6"/>
        <v>-641556.43999999948</v>
      </c>
      <c r="AF23" s="181">
        <f t="shared" si="6"/>
        <v>10187147.34</v>
      </c>
      <c r="AG23" s="181">
        <f t="shared" si="6"/>
        <v>-118781.69999999995</v>
      </c>
      <c r="AH23" s="181">
        <f t="shared" si="6"/>
        <v>-1114795.5899999999</v>
      </c>
      <c r="AI23" s="181">
        <f t="shared" si="6"/>
        <v>12234275.83</v>
      </c>
      <c r="AJ23" s="181">
        <f t="shared" si="6"/>
        <v>5016254.2100000009</v>
      </c>
      <c r="AK23" s="181">
        <f t="shared" si="6"/>
        <v>6531766.3000000026</v>
      </c>
      <c r="AL23" s="181">
        <f t="shared" si="6"/>
        <v>1172309.7600000002</v>
      </c>
      <c r="AM23" s="181">
        <f t="shared" si="6"/>
        <v>-3843093.26</v>
      </c>
      <c r="AN23" s="181">
        <f t="shared" si="6"/>
        <v>1218796.6800000006</v>
      </c>
      <c r="AO23" s="181">
        <f t="shared" si="6"/>
        <v>928101.93000000017</v>
      </c>
      <c r="AP23" s="181">
        <f t="shared" si="6"/>
        <v>-1573158.0699999984</v>
      </c>
      <c r="AQ23" s="181">
        <f t="shared" si="6"/>
        <v>3349607.29</v>
      </c>
      <c r="AR23" s="181">
        <f t="shared" si="6"/>
        <v>4273584.87</v>
      </c>
      <c r="AS23" s="181">
        <f t="shared" si="6"/>
        <v>-1809164.0300000005</v>
      </c>
      <c r="AT23" s="181">
        <f t="shared" si="6"/>
        <v>8092477.2599999998</v>
      </c>
      <c r="AU23" s="181">
        <f t="shared" si="6"/>
        <v>2942305.2700000005</v>
      </c>
      <c r="AV23" s="181">
        <f t="shared" si="6"/>
        <v>303302.40000000002</v>
      </c>
      <c r="AW23" s="181">
        <f t="shared" si="6"/>
        <v>-28814.959999999963</v>
      </c>
      <c r="AX23" s="181">
        <f t="shared" si="6"/>
        <v>16166827.07</v>
      </c>
      <c r="AY23" s="181">
        <f t="shared" si="6"/>
        <v>-1285711.78</v>
      </c>
      <c r="AZ23" s="181">
        <f t="shared" si="6"/>
        <v>5956684.4200000009</v>
      </c>
      <c r="BA23" s="181">
        <f t="shared" si="6"/>
        <v>-570550.01</v>
      </c>
      <c r="BB23" s="181">
        <f t="shared" si="6"/>
        <v>38530094.520000011</v>
      </c>
      <c r="BC23" s="181">
        <f t="shared" si="6"/>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G24" si="7">D23/D5</f>
        <v>4272.1152222222227</v>
      </c>
      <c r="E24" s="174">
        <f t="shared" si="7"/>
        <v>4437.8262680412354</v>
      </c>
      <c r="F24" s="174">
        <f t="shared" si="7"/>
        <v>625.78152466367624</v>
      </c>
      <c r="G24" s="174">
        <f t="shared" si="7"/>
        <v>3076.3334398237403</v>
      </c>
      <c r="H24" s="174">
        <f t="shared" si="7"/>
        <v>5103.4676365831574</v>
      </c>
      <c r="I24" s="174">
        <f t="shared" si="7"/>
        <v>387.61345310136181</v>
      </c>
      <c r="J24" s="174">
        <f t="shared" si="7"/>
        <v>7200.9636875891565</v>
      </c>
      <c r="K24" s="174">
        <f t="shared" si="7"/>
        <v>2243.0954558716267</v>
      </c>
      <c r="L24" s="174">
        <f t="shared" si="7"/>
        <v>3904.0033898305091</v>
      </c>
      <c r="M24" s="174">
        <f t="shared" si="7"/>
        <v>3759.3653230082314</v>
      </c>
      <c r="N24" s="174">
        <f t="shared" si="7"/>
        <v>2589.5717613636366</v>
      </c>
      <c r="O24" s="174">
        <f t="shared" si="7"/>
        <v>2268.8379629629626</v>
      </c>
      <c r="P24" s="174">
        <f t="shared" si="7"/>
        <v>4519.7557108433739</v>
      </c>
      <c r="Q24" s="174">
        <f t="shared" si="7"/>
        <v>5984.085759312321</v>
      </c>
      <c r="R24" s="174">
        <f t="shared" si="7"/>
        <v>299.03978165939009</v>
      </c>
      <c r="S24" s="174">
        <f t="shared" si="7"/>
        <v>1045.7694509803925</v>
      </c>
      <c r="T24" s="174">
        <f t="shared" si="7"/>
        <v>4002.5546100917445</v>
      </c>
      <c r="U24" s="174">
        <f t="shared" si="7"/>
        <v>3395.1928965517241</v>
      </c>
      <c r="V24" s="174">
        <f t="shared" si="7"/>
        <v>-3334.9089506172841</v>
      </c>
      <c r="W24" s="174">
        <f t="shared" si="7"/>
        <v>6249.259967897272</v>
      </c>
      <c r="X24" s="174">
        <f t="shared" si="7"/>
        <v>-6106.1661060209417</v>
      </c>
      <c r="Y24" s="174">
        <f t="shared" si="7"/>
        <v>1416.5730208333334</v>
      </c>
      <c r="Z24" s="174">
        <f t="shared" si="7"/>
        <v>-2646.0851006711418</v>
      </c>
      <c r="AA24" s="174">
        <f t="shared" si="7"/>
        <v>1541.7526744186034</v>
      </c>
      <c r="AB24" s="174">
        <f t="shared" si="7"/>
        <v>8045.4640983606578</v>
      </c>
      <c r="AC24" s="174">
        <f t="shared" si="7"/>
        <v>2247.7640384615388</v>
      </c>
      <c r="AD24" s="174">
        <f t="shared" si="7"/>
        <v>-6328.4958163265301</v>
      </c>
      <c r="AE24" s="174">
        <f t="shared" si="7"/>
        <v>-335.19145245559014</v>
      </c>
      <c r="AF24" s="174">
        <f t="shared" si="7"/>
        <v>3895.6586386233271</v>
      </c>
      <c r="AG24" s="174">
        <f t="shared" si="7"/>
        <v>-523.26740088105703</v>
      </c>
      <c r="AH24" s="174">
        <f t="shared" si="7"/>
        <v>-8509.89</v>
      </c>
      <c r="AI24" s="174">
        <f t="shared" si="7"/>
        <v>6456.0822321899741</v>
      </c>
      <c r="AJ24" s="174">
        <f t="shared" si="7"/>
        <v>4419.6072334801765</v>
      </c>
      <c r="AK24" s="174">
        <f t="shared" si="7"/>
        <v>5263.3088638195022</v>
      </c>
      <c r="AL24" s="174">
        <f t="shared" si="7"/>
        <v>9851.342521008406</v>
      </c>
      <c r="AM24" s="174">
        <f t="shared" si="7"/>
        <v>-3215.977623430962</v>
      </c>
      <c r="AN24" s="174">
        <f t="shared" si="7"/>
        <v>1838.3057013574671</v>
      </c>
      <c r="AO24" s="174">
        <f t="shared" si="7"/>
        <v>1438.9177209302329</v>
      </c>
      <c r="AP24" s="174">
        <f t="shared" si="7"/>
        <v>-1245.5725019794129</v>
      </c>
      <c r="AQ24" s="174">
        <f t="shared" si="7"/>
        <v>4526.4963378378379</v>
      </c>
      <c r="AR24" s="174">
        <f t="shared" si="7"/>
        <v>4157.183725680934</v>
      </c>
      <c r="AS24" s="174">
        <f t="shared" si="7"/>
        <v>-5761.6688853503201</v>
      </c>
      <c r="AT24" s="174">
        <f t="shared" si="7"/>
        <v>3371.8655249999997</v>
      </c>
      <c r="AU24" s="174">
        <f t="shared" si="7"/>
        <v>3897.0930728476828</v>
      </c>
      <c r="AV24" s="174">
        <f t="shared" si="7"/>
        <v>1675.7038674033151</v>
      </c>
      <c r="AW24" s="174">
        <f t="shared" si="7"/>
        <v>-83.040230547550323</v>
      </c>
      <c r="AX24" s="174">
        <f t="shared" si="7"/>
        <v>9566.1698639053247</v>
      </c>
      <c r="AY24" s="174">
        <f t="shared" si="7"/>
        <v>-3322.2526614987082</v>
      </c>
      <c r="AZ24" s="174">
        <f t="shared" si="7"/>
        <v>5434.9310401459861</v>
      </c>
      <c r="BA24" s="174">
        <f t="shared" si="7"/>
        <v>-3034.8404787234044</v>
      </c>
      <c r="BB24" s="174">
        <f t="shared" si="7"/>
        <v>5988.513291886853</v>
      </c>
      <c r="BC24" s="174">
        <f t="shared" si="7"/>
        <v>3847.7301785714276</v>
      </c>
      <c r="BD24" s="174">
        <f t="shared" si="7"/>
        <v>3871.0733860179903</v>
      </c>
      <c r="BE24" s="174">
        <f t="shared" si="7"/>
        <v>4512.0894180315254</v>
      </c>
      <c r="BF24" s="174">
        <f t="shared" si="7"/>
        <v>936.00462066991156</v>
      </c>
      <c r="BG24" s="174">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1">
        <f>SUM(C42:BC42)</f>
        <v>538714835.05999994</v>
      </c>
      <c r="BE42" s="181">
        <f t="shared" ref="BE42" si="13">SUM(C42:U42)</f>
        <v>267409193.54999995</v>
      </c>
      <c r="BF42" s="181">
        <f t="shared" ref="BF42" si="14">SUM(V42:AH42)</f>
        <v>66360232.519999996</v>
      </c>
      <c r="BG42" s="181">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1">
        <f t="shared" si="17"/>
        <v>141329869.45999992</v>
      </c>
      <c r="BF45" s="181">
        <f t="shared" si="17"/>
        <v>11166293.910000011</v>
      </c>
      <c r="BG45" s="181">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O17" sqref="O17"/>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6" t="s">
        <v>56</v>
      </c>
      <c r="B3" s="4">
        <f>'5.4 Tableau de l''endettement'!C20</f>
        <v>8787762.370000001</v>
      </c>
      <c r="C3" s="4">
        <f>'5.4 Tableau de l''endettement'!C21</f>
        <v>9520.8693066088854</v>
      </c>
      <c r="D3" s="4">
        <f>'5.4 Tableau de l''endettement'!C23</f>
        <v>3110759.83</v>
      </c>
      <c r="E3" s="4">
        <f>'5.4 Tableau de l''endettement'!C24</f>
        <v>3370.2706717226438</v>
      </c>
    </row>
    <row r="4" spans="1:5" x14ac:dyDescent="0.25">
      <c r="A4" s="206" t="s">
        <v>18</v>
      </c>
      <c r="B4" s="4">
        <f>'5.4 Tableau de l''endettement'!D20</f>
        <v>2487801.85</v>
      </c>
      <c r="C4" s="4">
        <f>'5.4 Tableau de l''endettement'!D21</f>
        <v>9214.0809259259258</v>
      </c>
      <c r="D4" s="4">
        <f>'5.4 Tableau de l''endettement'!D23</f>
        <v>1153471.1100000001</v>
      </c>
      <c r="E4" s="4">
        <f>'5.4 Tableau de l''endettement'!D24</f>
        <v>4272.1152222222227</v>
      </c>
    </row>
    <row r="5" spans="1:5" x14ac:dyDescent="0.25">
      <c r="A5" s="206" t="s">
        <v>57</v>
      </c>
      <c r="B5" s="4">
        <f>'5.4 Tableau de l''endettement'!E20</f>
        <v>5651890.2999999998</v>
      </c>
      <c r="C5" s="4">
        <f>'5.4 Tableau de l''endettement'!E21</f>
        <v>11653.382061855669</v>
      </c>
      <c r="D5" s="4">
        <f>'5.4 Tableau de l''endettement'!E23</f>
        <v>2152345.7399999993</v>
      </c>
      <c r="E5" s="4">
        <f>'5.4 Tableau de l''endettement'!E24</f>
        <v>4437.8262680412354</v>
      </c>
    </row>
    <row r="6" spans="1:5" x14ac:dyDescent="0.25">
      <c r="A6" s="206" t="s">
        <v>53</v>
      </c>
      <c r="B6" s="4">
        <f>'5.4 Tableau de l''endettement'!F20</f>
        <v>4580673.8899999997</v>
      </c>
      <c r="C6" s="4">
        <f>'5.4 Tableau de l''endettement'!F21</f>
        <v>10270.569260089685</v>
      </c>
      <c r="D6" s="4">
        <f>'5.4 Tableau de l''endettement'!F23</f>
        <v>279098.55999999959</v>
      </c>
      <c r="E6" s="4">
        <f>'5.4 Tableau de l''endettement'!F24</f>
        <v>625.78152466367624</v>
      </c>
    </row>
    <row r="7" spans="1:5" x14ac:dyDescent="0.25">
      <c r="A7" s="206" t="s">
        <v>33</v>
      </c>
      <c r="B7" s="4">
        <f>'5.4 Tableau de l''endettement'!G20</f>
        <v>25331929.02</v>
      </c>
      <c r="C7" s="4">
        <f>'5.4 Tableau de l''endettement'!G21</f>
        <v>6976.5709226108511</v>
      </c>
      <c r="D7" s="4">
        <f>'5.4 Tableau de l''endettement'!G23</f>
        <v>11170166.720000001</v>
      </c>
      <c r="E7" s="4">
        <f>'5.4 Tableau de l''endettement'!G24</f>
        <v>3076.3334398237403</v>
      </c>
    </row>
    <row r="8" spans="1:5" x14ac:dyDescent="0.25">
      <c r="A8" s="206" t="s">
        <v>10</v>
      </c>
      <c r="B8" s="4">
        <f>'5.4 Tableau de l''endettement'!H20</f>
        <v>24139585.52</v>
      </c>
      <c r="C8" s="4">
        <f>'5.4 Tableau de l''endettement'!H21</f>
        <v>7286.3222215514634</v>
      </c>
      <c r="D8" s="4">
        <f>'5.4 Tableau de l''endettement'!H23</f>
        <v>16907788.280000001</v>
      </c>
      <c r="E8" s="4">
        <f>'5.4 Tableau de l''endettement'!H24</f>
        <v>5103.4676365831574</v>
      </c>
    </row>
    <row r="9" spans="1:5" x14ac:dyDescent="0.25">
      <c r="A9" s="206" t="s">
        <v>15</v>
      </c>
      <c r="B9" s="4">
        <f>'5.4 Tableau de l''endettement'!I20</f>
        <v>10593458.889999999</v>
      </c>
      <c r="C9" s="4">
        <f>'5.4 Tableau de l''endettement'!I21</f>
        <v>4006.6032110438723</v>
      </c>
      <c r="D9" s="4">
        <f>'5.4 Tableau de l''endettement'!I23</f>
        <v>1024849.9700000007</v>
      </c>
      <c r="E9" s="4">
        <f>'5.4 Tableau de l''endettement'!I24</f>
        <v>387.61345310136181</v>
      </c>
    </row>
    <row r="10" spans="1:5" x14ac:dyDescent="0.25">
      <c r="A10" s="206" t="s">
        <v>28</v>
      </c>
      <c r="B10" s="4">
        <f>'5.4 Tableau de l''endettement'!J20</f>
        <v>132652769.70999999</v>
      </c>
      <c r="C10" s="4">
        <f>'5.4 Tableau de l''endettement'!J21</f>
        <v>10512.97905452528</v>
      </c>
      <c r="D10" s="4">
        <f>'5.4 Tableau de l''endettement'!J23</f>
        <v>90861759.809999973</v>
      </c>
      <c r="E10" s="4">
        <f>'5.4 Tableau de l''endettement'!J24</f>
        <v>7200.9636875891565</v>
      </c>
    </row>
    <row r="11" spans="1:5" x14ac:dyDescent="0.25">
      <c r="A11" s="206" t="s">
        <v>42</v>
      </c>
      <c r="B11" s="4">
        <f>'5.4 Tableau de l''endettement'!K20</f>
        <v>7093445.6799999997</v>
      </c>
      <c r="C11" s="4">
        <f>'5.4 Tableau de l''endettement'!K21</f>
        <v>5173.920991976659</v>
      </c>
      <c r="D11" s="4">
        <f>'5.4 Tableau de l''endettement'!K23</f>
        <v>3075283.87</v>
      </c>
      <c r="E11" s="4">
        <f>'5.4 Tableau de l''endettement'!K24</f>
        <v>2243.0954558716267</v>
      </c>
    </row>
    <row r="12" spans="1:5" x14ac:dyDescent="0.25">
      <c r="A12" s="206" t="s">
        <v>23</v>
      </c>
      <c r="B12" s="4">
        <f>'5.4 Tableau de l''endettement'!L20</f>
        <v>825716.9</v>
      </c>
      <c r="C12" s="4">
        <f>'5.4 Tableau de l''endettement'!L21</f>
        <v>6997.6008474576274</v>
      </c>
      <c r="D12" s="4">
        <f>'5.4 Tableau de l''endettement'!L23</f>
        <v>460672.40000000008</v>
      </c>
      <c r="E12" s="4">
        <f>'5.4 Tableau de l''endettement'!L24</f>
        <v>3904.0033898305091</v>
      </c>
    </row>
    <row r="13" spans="1:5" x14ac:dyDescent="0.25">
      <c r="A13" s="206" t="s">
        <v>22</v>
      </c>
      <c r="B13" s="4">
        <f>'5.4 Tableau de l''endettement'!M20</f>
        <v>44736924.560000002</v>
      </c>
      <c r="C13" s="4">
        <f>'5.4 Tableau de l''endettement'!M21</f>
        <v>6242.0712376168558</v>
      </c>
      <c r="D13" s="4">
        <f>'5.4 Tableau de l''endettement'!M23</f>
        <v>26943371.269999996</v>
      </c>
      <c r="E13" s="4">
        <f>'5.4 Tableau de l''endettement'!M24</f>
        <v>3759.3653230082314</v>
      </c>
    </row>
    <row r="14" spans="1:5" x14ac:dyDescent="0.25">
      <c r="A14" s="206" t="s">
        <v>13</v>
      </c>
      <c r="B14" s="4">
        <f>'5.4 Tableau de l''endettement'!N20</f>
        <v>3159127.29</v>
      </c>
      <c r="C14" s="4">
        <f>'5.4 Tableau de l''endettement'!N21</f>
        <v>5983.1956250000003</v>
      </c>
      <c r="D14" s="4">
        <f>'5.4 Tableau de l''endettement'!N23</f>
        <v>1367293.8900000001</v>
      </c>
      <c r="E14" s="4">
        <f>'5.4 Tableau de l''endettement'!N24</f>
        <v>2589.5717613636366</v>
      </c>
    </row>
    <row r="15" spans="1:5" x14ac:dyDescent="0.25">
      <c r="A15" s="206" t="s">
        <v>17</v>
      </c>
      <c r="B15" s="4">
        <f>'5.4 Tableau de l''endettement'!O20</f>
        <v>536394.25</v>
      </c>
      <c r="C15" s="4">
        <f>'5.4 Tableau de l''endettement'!O21</f>
        <v>4966.6134259259261</v>
      </c>
      <c r="D15" s="4">
        <f>'5.4 Tableau de l''endettement'!O23</f>
        <v>245034.49999999994</v>
      </c>
      <c r="E15" s="4">
        <f>'5.4 Tableau de l''endettement'!O24</f>
        <v>2268.8379629629626</v>
      </c>
    </row>
    <row r="16" spans="1:5" x14ac:dyDescent="0.25">
      <c r="A16" s="206" t="s">
        <v>43</v>
      </c>
      <c r="B16" s="4">
        <f>'5.4 Tableau de l''endettement'!P20</f>
        <v>3313530.66</v>
      </c>
      <c r="C16" s="4">
        <f>'5.4 Tableau de l''endettement'!P21</f>
        <v>7984.4112289156628</v>
      </c>
      <c r="D16" s="4">
        <f>'5.4 Tableau de l''endettement'!P23</f>
        <v>1875698.62</v>
      </c>
      <c r="E16" s="4">
        <f>'5.4 Tableau de l''endettement'!P24</f>
        <v>4519.7557108433739</v>
      </c>
    </row>
    <row r="17" spans="1:5" x14ac:dyDescent="0.25">
      <c r="A17" s="206" t="s">
        <v>40</v>
      </c>
      <c r="B17" s="4">
        <f>'5.4 Tableau de l''endettement'!Q20</f>
        <v>4204776.53</v>
      </c>
      <c r="C17" s="4">
        <f>'5.4 Tableau de l''endettement'!Q21</f>
        <v>12048.070286532951</v>
      </c>
      <c r="D17" s="4">
        <f>'5.4 Tableau de l''endettement'!Q23</f>
        <v>2088445.9300000002</v>
      </c>
      <c r="E17" s="4">
        <f>'5.4 Tableau de l''endettement'!Q24</f>
        <v>5984.085759312321</v>
      </c>
    </row>
    <row r="18" spans="1:5" x14ac:dyDescent="0.25">
      <c r="A18" s="206" t="s">
        <v>31</v>
      </c>
      <c r="B18" s="4">
        <f>'5.4 Tableau de l''endettement'!R20</f>
        <v>5498176.3700000001</v>
      </c>
      <c r="C18" s="4">
        <f>'5.4 Tableau de l''endettement'!R21</f>
        <v>8003.167933042213</v>
      </c>
      <c r="D18" s="4">
        <f>'5.4 Tableau de l''endettement'!R23</f>
        <v>205440.33000000101</v>
      </c>
      <c r="E18" s="4">
        <f>'5.4 Tableau de l''endettement'!R24</f>
        <v>299.03978165939009</v>
      </c>
    </row>
    <row r="19" spans="1:5" x14ac:dyDescent="0.25">
      <c r="A19" s="206" t="s">
        <v>12</v>
      </c>
      <c r="B19" s="4">
        <f>'5.4 Tableau de l''endettement'!S20</f>
        <v>938248.7</v>
      </c>
      <c r="C19" s="4">
        <f>'5.4 Tableau de l''endettement'!S21</f>
        <v>3679.4066666666663</v>
      </c>
      <c r="D19" s="4">
        <f>'5.4 Tableau de l''endettement'!S23</f>
        <v>266671.21000000008</v>
      </c>
      <c r="E19" s="4">
        <f>'5.4 Tableau de l''endettement'!S24</f>
        <v>1045.7694509803925</v>
      </c>
    </row>
    <row r="20" spans="1:5" x14ac:dyDescent="0.25">
      <c r="A20" s="206" t="s">
        <v>59</v>
      </c>
      <c r="B20" s="4">
        <f>'5.4 Tableau de l''endettement'!T20</f>
        <v>4144239.9200000004</v>
      </c>
      <c r="C20" s="4">
        <f>'5.4 Tableau de l''endettement'!T21</f>
        <v>9505.1374311926611</v>
      </c>
      <c r="D20" s="4">
        <f>'5.4 Tableau de l''endettement'!T23</f>
        <v>1745113.8100000005</v>
      </c>
      <c r="E20" s="4">
        <f>'5.4 Tableau de l''endettement'!T24</f>
        <v>4002.5546100917445</v>
      </c>
    </row>
    <row r="21" spans="1:5" x14ac:dyDescent="0.25">
      <c r="A21" s="206" t="s">
        <v>27</v>
      </c>
      <c r="B21" s="4">
        <f>'5.4 Tableau de l''endettement'!U20</f>
        <v>15429558.279999999</v>
      </c>
      <c r="C21" s="4">
        <f>'5.4 Tableau de l''endettement'!U21</f>
        <v>4836.8521253918498</v>
      </c>
      <c r="D21" s="4">
        <f>'5.4 Tableau de l''endettement'!U23</f>
        <v>10830665.34</v>
      </c>
      <c r="E21" s="4">
        <f>'5.4 Tableau de l''endettement'!U24</f>
        <v>3395.1928965517241</v>
      </c>
    </row>
    <row r="22" spans="1:5" x14ac:dyDescent="0.25">
      <c r="A22" s="206" t="s">
        <v>30</v>
      </c>
      <c r="B22" s="4">
        <f>'5.4 Tableau de l''endettement'!V20</f>
        <v>567571.4</v>
      </c>
      <c r="C22" s="4">
        <f>'5.4 Tableau de l''endettement'!V21</f>
        <v>1751.7635802469138</v>
      </c>
      <c r="D22" s="4">
        <f>'5.4 Tableau de l''endettement'!V23</f>
        <v>-1080510.5</v>
      </c>
      <c r="E22" s="4">
        <f>'5.4 Tableau de l''endettement'!V24</f>
        <v>-3334.9089506172841</v>
      </c>
    </row>
    <row r="23" spans="1:5" x14ac:dyDescent="0.25">
      <c r="A23" s="206" t="s">
        <v>20</v>
      </c>
      <c r="B23" s="4">
        <f>'5.4 Tableau de l''endettement'!W20</f>
        <v>12076989.98</v>
      </c>
      <c r="C23" s="4">
        <f>'5.4 Tableau de l''endettement'!W21</f>
        <v>9692.6083306581058</v>
      </c>
      <c r="D23" s="4">
        <f>'5.4 Tableau de l''endettement'!W23</f>
        <v>7786577.9200000009</v>
      </c>
      <c r="E23" s="4">
        <f>'5.4 Tableau de l''endettement'!W24</f>
        <v>6249.259967897272</v>
      </c>
    </row>
    <row r="24" spans="1:5" x14ac:dyDescent="0.25">
      <c r="A24" s="206" t="s">
        <v>45</v>
      </c>
      <c r="B24" s="4">
        <f>'5.4 Tableau de l''endettement'!X20</f>
        <v>8118224.96</v>
      </c>
      <c r="C24" s="4">
        <f>'5.4 Tableau de l''endettement'!X21</f>
        <v>5312.9744502617805</v>
      </c>
      <c r="D24" s="4">
        <f>'5.4 Tableau de l''endettement'!X23</f>
        <v>-9330221.8099999987</v>
      </c>
      <c r="E24" s="4">
        <f>'5.4 Tableau de l''endettement'!X24</f>
        <v>-6106.1661060209417</v>
      </c>
    </row>
    <row r="25" spans="1:5" x14ac:dyDescent="0.25">
      <c r="A25" s="206" t="s">
        <v>71</v>
      </c>
      <c r="B25" s="4">
        <f>'5.4 Tableau de l''endettement'!Y20</f>
        <v>644147.25</v>
      </c>
      <c r="C25" s="4">
        <f>'5.4 Tableau de l''endettement'!Y21</f>
        <v>6709.8671875</v>
      </c>
      <c r="D25" s="4">
        <f>'5.4 Tableau de l''endettement'!Y23</f>
        <v>135991.01</v>
      </c>
      <c r="E25" s="4">
        <f>'5.4 Tableau de l''endettement'!Y24</f>
        <v>1416.5730208333334</v>
      </c>
    </row>
    <row r="26" spans="1:5" x14ac:dyDescent="0.25">
      <c r="A26" s="206" t="s">
        <v>39</v>
      </c>
      <c r="B26" s="4">
        <f>'5.4 Tableau de l''endettement'!Z20</f>
        <v>1231444.1299999999</v>
      </c>
      <c r="C26" s="4">
        <f>'5.4 Tableau de l''endettement'!Z21</f>
        <v>8264.7257046979867</v>
      </c>
      <c r="D26" s="4">
        <f>'5.4 Tableau de l''endettement'!Z23</f>
        <v>-394266.68000000017</v>
      </c>
      <c r="E26" s="4">
        <f>'5.4 Tableau de l''endettement'!Z24</f>
        <v>-2646.0851006711418</v>
      </c>
    </row>
    <row r="27" spans="1:5" x14ac:dyDescent="0.25">
      <c r="A27" s="206" t="s">
        <v>19</v>
      </c>
      <c r="B27" s="4">
        <f>'5.4 Tableau de l''endettement'!AA20</f>
        <v>3754493.61</v>
      </c>
      <c r="C27" s="4">
        <f>'5.4 Tableau de l''endettement'!AA21</f>
        <v>7276.1504069767443</v>
      </c>
      <c r="D27" s="4">
        <f>'5.4 Tableau de l''endettement'!AA23</f>
        <v>795544.37999999942</v>
      </c>
      <c r="E27" s="4">
        <f>'5.4 Tableau de l''endettement'!AA24</f>
        <v>1541.7526744186034</v>
      </c>
    </row>
    <row r="28" spans="1:5" x14ac:dyDescent="0.25">
      <c r="A28" s="206" t="s">
        <v>41</v>
      </c>
      <c r="B28" s="4">
        <f>'5.4 Tableau de l''endettement'!AB20</f>
        <v>8579909.4399999995</v>
      </c>
      <c r="C28" s="4">
        <f>'5.4 Tableau de l''endettement'!AB21</f>
        <v>12786.750283159463</v>
      </c>
      <c r="D28" s="4">
        <f>'5.4 Tableau de l''endettement'!AB23</f>
        <v>5398506.4100000011</v>
      </c>
      <c r="E28" s="4">
        <f>'5.4 Tableau de l''endettement'!AB24</f>
        <v>8045.4640983606578</v>
      </c>
    </row>
    <row r="29" spans="1:5" x14ac:dyDescent="0.25">
      <c r="A29" s="206" t="s">
        <v>36</v>
      </c>
      <c r="B29" s="4">
        <f>'5.4 Tableau de l''endettement'!AC20</f>
        <v>3837428.94</v>
      </c>
      <c r="C29" s="4">
        <f>'5.4 Tableau de l''endettement'!AC21</f>
        <v>6708.7918531468531</v>
      </c>
      <c r="D29" s="4">
        <f>'5.4 Tableau de l''endettement'!AC23</f>
        <v>1285721.0300000003</v>
      </c>
      <c r="E29" s="4">
        <f>'5.4 Tableau de l''endettement'!AC24</f>
        <v>2247.7640384615388</v>
      </c>
    </row>
    <row r="30" spans="1:5" x14ac:dyDescent="0.25">
      <c r="A30" s="206" t="s">
        <v>7</v>
      </c>
      <c r="B30" s="4">
        <f>'5.4 Tableau de l''endettement'!AD20</f>
        <v>1162741.5</v>
      </c>
      <c r="C30" s="4">
        <f>'5.4 Tableau de l''endettement'!AD21</f>
        <v>2372.9418367346939</v>
      </c>
      <c r="D30" s="4">
        <f>'5.4 Tableau de l''endettement'!AD23</f>
        <v>-3100962.9499999997</v>
      </c>
      <c r="E30" s="4">
        <f>'5.4 Tableau de l''endettement'!AD24</f>
        <v>-6328.4958163265301</v>
      </c>
    </row>
    <row r="31" spans="1:5" x14ac:dyDescent="0.25">
      <c r="A31" s="206" t="s">
        <v>55</v>
      </c>
      <c r="B31" s="4">
        <f>'5.4 Tableau de l''endettement'!AE20</f>
        <v>8032615.3900000006</v>
      </c>
      <c r="C31" s="4">
        <f>'5.4 Tableau de l''endettement'!AE21</f>
        <v>4196.7687513061655</v>
      </c>
      <c r="D31" s="4">
        <f>'5.4 Tableau de l''endettement'!AE23</f>
        <v>-641556.43999999948</v>
      </c>
      <c r="E31" s="4">
        <f>'5.4 Tableau de l''endettement'!AE24</f>
        <v>-335.19145245559014</v>
      </c>
    </row>
    <row r="32" spans="1:5" x14ac:dyDescent="0.25">
      <c r="A32" s="206" t="s">
        <v>21</v>
      </c>
      <c r="B32" s="4">
        <f>'5.4 Tableau de l''endettement'!AF20</f>
        <v>19272498.099999998</v>
      </c>
      <c r="C32" s="4">
        <f>'5.4 Tableau de l''endettement'!AF21</f>
        <v>7369.9801529636707</v>
      </c>
      <c r="D32" s="4">
        <f>'5.4 Tableau de l''endettement'!AF23</f>
        <v>10187147.34</v>
      </c>
      <c r="E32" s="4">
        <f>'5.4 Tableau de l''endettement'!AF24</f>
        <v>3895.6586386233271</v>
      </c>
    </row>
    <row r="33" spans="1:5" x14ac:dyDescent="0.25">
      <c r="A33" s="206" t="s">
        <v>6</v>
      </c>
      <c r="B33" s="4">
        <f>'5.4 Tableau de l''endettement'!AG20</f>
        <v>1590822.06</v>
      </c>
      <c r="C33" s="4">
        <f>'5.4 Tableau de l''endettement'!AG21</f>
        <v>7008.0266960352428</v>
      </c>
      <c r="D33" s="4">
        <f>'5.4 Tableau de l''endettement'!AG23</f>
        <v>-118781.69999999995</v>
      </c>
      <c r="E33" s="4">
        <f>'5.4 Tableau de l''endettement'!AG24</f>
        <v>-523.26740088105703</v>
      </c>
    </row>
    <row r="34" spans="1:5" x14ac:dyDescent="0.25">
      <c r="A34" s="206" t="s">
        <v>34</v>
      </c>
      <c r="B34" s="4">
        <f>'5.4 Tableau de l''endettement'!AH20</f>
        <v>1163456.05</v>
      </c>
      <c r="C34" s="4">
        <f>'5.4 Tableau de l''endettement'!AH21</f>
        <v>8881.3438931297715</v>
      </c>
      <c r="D34" s="4">
        <f>'5.4 Tableau de l''endettement'!AH23</f>
        <v>-1114795.5899999999</v>
      </c>
      <c r="E34" s="4">
        <f>'5.4 Tableau de l''endettement'!AH24</f>
        <v>-8509.89</v>
      </c>
    </row>
    <row r="35" spans="1:5" x14ac:dyDescent="0.25">
      <c r="A35" s="206" t="s">
        <v>52</v>
      </c>
      <c r="B35" s="4">
        <f>'5.4 Tableau de l''endettement'!AI20</f>
        <v>17594904.52</v>
      </c>
      <c r="C35" s="4">
        <f>'5.4 Tableau de l''endettement'!AI21</f>
        <v>9284.9100369393145</v>
      </c>
      <c r="D35" s="4">
        <f>'5.4 Tableau de l''endettement'!AI23</f>
        <v>12234275.83</v>
      </c>
      <c r="E35" s="4">
        <f>'5.4 Tableau de l''endettement'!AI24</f>
        <v>6456.0822321899741</v>
      </c>
    </row>
    <row r="36" spans="1:5" x14ac:dyDescent="0.25">
      <c r="A36" s="206" t="s">
        <v>14</v>
      </c>
      <c r="B36" s="4">
        <f>'5.4 Tableau de l''endettement'!AJ20</f>
        <v>9692490.629999999</v>
      </c>
      <c r="C36" s="4">
        <f>'5.4 Tableau de l''endettement'!AJ21</f>
        <v>8539.6393215859025</v>
      </c>
      <c r="D36" s="4">
        <f>'5.4 Tableau de l''endettement'!AJ23</f>
        <v>5016254.2100000009</v>
      </c>
      <c r="E36" s="4">
        <f>'5.4 Tableau de l''endettement'!AJ24</f>
        <v>4419.6072334801765</v>
      </c>
    </row>
    <row r="37" spans="1:5" x14ac:dyDescent="0.25">
      <c r="A37" s="206" t="s">
        <v>32</v>
      </c>
      <c r="B37" s="4">
        <f>'5.4 Tableau de l''endettement'!AK20</f>
        <v>11472400.510000002</v>
      </c>
      <c r="C37" s="4">
        <f>'5.4 Tableau de l''endettement'!AK21</f>
        <v>9244.4806688154731</v>
      </c>
      <c r="D37" s="4">
        <f>'5.4 Tableau de l''endettement'!AK23</f>
        <v>6531766.3000000026</v>
      </c>
      <c r="E37" s="4">
        <f>'5.4 Tableau de l''endettement'!AK24</f>
        <v>5263.3088638195022</v>
      </c>
    </row>
    <row r="38" spans="1:5" x14ac:dyDescent="0.25">
      <c r="A38" s="206" t="s">
        <v>29</v>
      </c>
      <c r="B38" s="4">
        <f>'5.4 Tableau de l''endettement'!AL20</f>
        <v>1630726.94</v>
      </c>
      <c r="C38" s="4">
        <f>'5.4 Tableau de l''endettement'!AL21</f>
        <v>13703.587731092437</v>
      </c>
      <c r="D38" s="4">
        <f>'5.4 Tableau de l''endettement'!AL23</f>
        <v>1172309.7600000002</v>
      </c>
      <c r="E38" s="4">
        <f>'5.4 Tableau de l''endettement'!AL24</f>
        <v>9851.342521008406</v>
      </c>
    </row>
    <row r="39" spans="1:5" x14ac:dyDescent="0.25">
      <c r="A39" s="206" t="s">
        <v>26</v>
      </c>
      <c r="B39" s="4">
        <f>'5.4 Tableau de l''endettement'!AM20</f>
        <v>10895889.1</v>
      </c>
      <c r="C39" s="4">
        <f>'5.4 Tableau de l''endettement'!AM21</f>
        <v>9117.8988284518819</v>
      </c>
      <c r="D39" s="4">
        <f>'5.4 Tableau de l''endettement'!AM23</f>
        <v>-3843093.26</v>
      </c>
      <c r="E39" s="4">
        <f>'5.4 Tableau de l''endettement'!AM24</f>
        <v>-3215.977623430962</v>
      </c>
    </row>
    <row r="40" spans="1:5" x14ac:dyDescent="0.25">
      <c r="A40" s="206" t="s">
        <v>48</v>
      </c>
      <c r="B40" s="4">
        <f>'5.4 Tableau de l''endettement'!AN20</f>
        <v>5208593.24</v>
      </c>
      <c r="C40" s="4">
        <f>'5.4 Tableau de l''endettement'!AN21</f>
        <v>7856.0984012066365</v>
      </c>
      <c r="D40" s="4">
        <f>'5.4 Tableau de l''endettement'!AN23</f>
        <v>1218796.6800000006</v>
      </c>
      <c r="E40" s="4">
        <f>'5.4 Tableau de l''endettement'!AN24</f>
        <v>1838.3057013574671</v>
      </c>
    </row>
    <row r="41" spans="1:5" x14ac:dyDescent="0.25">
      <c r="A41" s="206" t="s">
        <v>44</v>
      </c>
      <c r="B41" s="4">
        <f>'5.4 Tableau de l''endettement'!AO20</f>
        <v>4438992.88</v>
      </c>
      <c r="C41" s="4">
        <f>'5.4 Tableau de l''endettement'!AO21</f>
        <v>6882.1595038759688</v>
      </c>
      <c r="D41" s="4">
        <f>'5.4 Tableau de l''endettement'!AO23</f>
        <v>928101.93000000017</v>
      </c>
      <c r="E41" s="4">
        <f>'5.4 Tableau de l''endettement'!AO24</f>
        <v>1438.9177209302329</v>
      </c>
    </row>
    <row r="42" spans="1:5" x14ac:dyDescent="0.25">
      <c r="A42" s="206" t="s">
        <v>37</v>
      </c>
      <c r="B42" s="4">
        <f>'5.4 Tableau de l''endettement'!AP20</f>
        <v>10073359.530000001</v>
      </c>
      <c r="C42" s="4">
        <f>'5.4 Tableau de l''endettement'!AP21</f>
        <v>7975.7399287410935</v>
      </c>
      <c r="D42" s="4">
        <f>'5.4 Tableau de l''endettement'!AP23</f>
        <v>-1573158.0699999984</v>
      </c>
      <c r="E42" s="4">
        <f>'5.4 Tableau de l''endettement'!AP24</f>
        <v>-1245.5725019794129</v>
      </c>
    </row>
    <row r="43" spans="1:5" x14ac:dyDescent="0.25">
      <c r="A43" s="206" t="s">
        <v>51</v>
      </c>
      <c r="B43" s="4">
        <f>'5.4 Tableau de l''endettement'!AQ20</f>
        <v>5769529.8499999996</v>
      </c>
      <c r="C43" s="4">
        <f>'5.4 Tableau de l''endettement'!AQ21</f>
        <v>7796.6619594594586</v>
      </c>
      <c r="D43" s="4">
        <f>'5.4 Tableau de l''endettement'!AQ23</f>
        <v>3349607.29</v>
      </c>
      <c r="E43" s="4">
        <f>'5.4 Tableau de l''endettement'!AQ24</f>
        <v>4526.4963378378379</v>
      </c>
    </row>
    <row r="44" spans="1:5" x14ac:dyDescent="0.25">
      <c r="A44" s="206" t="s">
        <v>8</v>
      </c>
      <c r="B44" s="4">
        <f>'5.4 Tableau de l''endettement'!AR20</f>
        <v>8124689.7800000003</v>
      </c>
      <c r="C44" s="4">
        <f>'5.4 Tableau de l''endettement'!AR21</f>
        <v>7903.3947276264598</v>
      </c>
      <c r="D44" s="4">
        <f>'5.4 Tableau de l''endettement'!AR23</f>
        <v>4273584.87</v>
      </c>
      <c r="E44" s="4">
        <f>'5.4 Tableau de l''endettement'!AR24</f>
        <v>4157.183725680934</v>
      </c>
    </row>
    <row r="45" spans="1:5" x14ac:dyDescent="0.25">
      <c r="A45" s="206" t="s">
        <v>24</v>
      </c>
      <c r="B45" s="4">
        <f>'5.4 Tableau de l''endettement'!AS20</f>
        <v>1892447.1</v>
      </c>
      <c r="C45" s="4">
        <f>'5.4 Tableau de l''endettement'!AS21</f>
        <v>6026.9015923566885</v>
      </c>
      <c r="D45" s="4">
        <f>'5.4 Tableau de l''endettement'!AS23</f>
        <v>-1809164.0300000005</v>
      </c>
      <c r="E45" s="4">
        <f>'5.4 Tableau de l''endettement'!AS24</f>
        <v>-5761.6688853503201</v>
      </c>
    </row>
    <row r="46" spans="1:5" x14ac:dyDescent="0.25">
      <c r="A46" s="206" t="s">
        <v>9</v>
      </c>
      <c r="B46" s="4">
        <f>'5.4 Tableau de l''endettement'!AT20</f>
        <v>13884615.460000001</v>
      </c>
      <c r="C46" s="4">
        <f>'5.4 Tableau de l''endettement'!AT21</f>
        <v>5785.2564416666673</v>
      </c>
      <c r="D46" s="4">
        <f>'5.4 Tableau de l''endettement'!AT23</f>
        <v>8092477.2599999998</v>
      </c>
      <c r="E46" s="4">
        <f>'5.4 Tableau de l''endettement'!AT24</f>
        <v>3371.8655249999997</v>
      </c>
    </row>
    <row r="47" spans="1:5" x14ac:dyDescent="0.25">
      <c r="A47" s="206" t="s">
        <v>62</v>
      </c>
      <c r="B47" s="4">
        <f>'5.4 Tableau de l''endettement'!AU20</f>
        <v>5721798.2999999998</v>
      </c>
      <c r="C47" s="4">
        <f>'5.4 Tableau de l''endettement'!AU21</f>
        <v>7578.5407947019867</v>
      </c>
      <c r="D47" s="4">
        <f>'5.4 Tableau de l''endettement'!AU23</f>
        <v>2942305.2700000005</v>
      </c>
      <c r="E47" s="4">
        <f>'5.4 Tableau de l''endettement'!AU24</f>
        <v>3897.0930728476828</v>
      </c>
    </row>
    <row r="48" spans="1:5" x14ac:dyDescent="0.25">
      <c r="A48" s="206" t="s">
        <v>46</v>
      </c>
      <c r="B48" s="4">
        <f>'5.4 Tableau de l''endettement'!AV20</f>
        <v>695239.35</v>
      </c>
      <c r="C48" s="4">
        <f>'5.4 Tableau de l''endettement'!AV21</f>
        <v>3841.1013812154697</v>
      </c>
      <c r="D48" s="4">
        <f>'5.4 Tableau de l''endettement'!AV23</f>
        <v>303302.40000000002</v>
      </c>
      <c r="E48" s="4">
        <f>'5.4 Tableau de l''endettement'!AV24</f>
        <v>1675.7038674033151</v>
      </c>
    </row>
    <row r="49" spans="1:5" x14ac:dyDescent="0.25">
      <c r="A49" s="206" t="s">
        <v>35</v>
      </c>
      <c r="B49" s="4">
        <f>'5.4 Tableau de l''endettement'!AW20</f>
        <v>2219789.69</v>
      </c>
      <c r="C49" s="4">
        <f>'5.4 Tableau de l''endettement'!AW21</f>
        <v>6397.0884438040348</v>
      </c>
      <c r="D49" s="4">
        <f>'5.4 Tableau de l''endettement'!AW23</f>
        <v>-28814.959999999963</v>
      </c>
      <c r="E49" s="4">
        <f>'5.4 Tableau de l''endettement'!AW24</f>
        <v>-83.040230547550323</v>
      </c>
    </row>
    <row r="50" spans="1:5" x14ac:dyDescent="0.25">
      <c r="A50" s="206" t="s">
        <v>49</v>
      </c>
      <c r="B50" s="4">
        <f>'5.4 Tableau de l''endettement'!AX20</f>
        <v>20584531.979999997</v>
      </c>
      <c r="C50" s="4">
        <f>'5.4 Tableau de l''endettement'!AX21</f>
        <v>12180.196437869821</v>
      </c>
      <c r="D50" s="4">
        <f>'5.4 Tableau de l''endettement'!AX23</f>
        <v>16166827.07</v>
      </c>
      <c r="E50" s="4">
        <f>'5.4 Tableau de l''endettement'!AX24</f>
        <v>9566.1698639053247</v>
      </c>
    </row>
    <row r="51" spans="1:5" x14ac:dyDescent="0.25">
      <c r="A51" s="206" t="s">
        <v>47</v>
      </c>
      <c r="B51" s="4">
        <f>'5.4 Tableau de l''endettement'!AY20</f>
        <v>1678016.85</v>
      </c>
      <c r="C51" s="4">
        <f>'5.4 Tableau de l''endettement'!AY21</f>
        <v>4335.9608527131786</v>
      </c>
      <c r="D51" s="4">
        <f>'5.4 Tableau de l''endettement'!AY23</f>
        <v>-1285711.78</v>
      </c>
      <c r="E51" s="4">
        <f>'5.4 Tableau de l''endettement'!AY24</f>
        <v>-3322.2526614987082</v>
      </c>
    </row>
    <row r="52" spans="1:5" x14ac:dyDescent="0.25">
      <c r="A52" s="206" t="s">
        <v>58</v>
      </c>
      <c r="B52" s="4">
        <f>'5.4 Tableau de l''endettement'!AZ20</f>
        <v>10224980.140000001</v>
      </c>
      <c r="C52" s="4">
        <f>'5.4 Tableau de l''endettement'!AZ21</f>
        <v>9329.3614416058408</v>
      </c>
      <c r="D52" s="4">
        <f>'5.4 Tableau de l''endettement'!AZ23</f>
        <v>5956684.4200000009</v>
      </c>
      <c r="E52" s="4">
        <f>'5.4 Tableau de l''endettement'!AZ24</f>
        <v>5434.9310401459861</v>
      </c>
    </row>
    <row r="53" spans="1:5" x14ac:dyDescent="0.25">
      <c r="A53" s="206" t="s">
        <v>50</v>
      </c>
      <c r="B53" s="4">
        <f>'5.4 Tableau de l''endettement'!BA20</f>
        <v>206289.58000000002</v>
      </c>
      <c r="C53" s="4">
        <f>'5.4 Tableau de l''endettement'!BA21</f>
        <v>1097.2850000000001</v>
      </c>
      <c r="D53" s="4">
        <f>'5.4 Tableau de l''endettement'!BA23</f>
        <v>-570550.01</v>
      </c>
      <c r="E53" s="4">
        <f>'5.4 Tableau de l''endettement'!BA24</f>
        <v>-3034.8404787234044</v>
      </c>
    </row>
    <row r="54" spans="1:5" x14ac:dyDescent="0.25">
      <c r="A54" s="206" t="s">
        <v>16</v>
      </c>
      <c r="B54" s="4">
        <f>'5.4 Tableau de l''endettement'!BB20</f>
        <v>67094497.109999999</v>
      </c>
      <c r="C54" s="4">
        <f>'5.4 Tableau de l''endettement'!BB21</f>
        <v>10428.115808206403</v>
      </c>
      <c r="D54" s="4">
        <f>'5.4 Tableau de l''endettement'!BB23</f>
        <v>38530094.520000011</v>
      </c>
      <c r="E54" s="4">
        <f>'5.4 Tableau de l''endettement'!BB24</f>
        <v>5988.513291886853</v>
      </c>
    </row>
    <row r="55" spans="1:5" x14ac:dyDescent="0.25">
      <c r="A55" s="206" t="s">
        <v>25</v>
      </c>
      <c r="B55" s="4">
        <f>'5.4 Tableau de l''endettement'!BC20</f>
        <v>4428056.8</v>
      </c>
      <c r="C55" s="4">
        <f>'5.4 Tableau de l''endettement'!BC21</f>
        <v>7907.2442857142851</v>
      </c>
      <c r="D55" s="4">
        <f>'5.4 Tableau de l''endettement'!BC23</f>
        <v>2154728.8999999994</v>
      </c>
      <c r="E55" s="4">
        <f>'5.4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50</v>
      </c>
    </row>
    <row r="5" spans="1:3" ht="15" customHeight="1" x14ac:dyDescent="0.25">
      <c r="C5" s="65"/>
    </row>
    <row r="6" spans="1:3" ht="15" customHeight="1" x14ac:dyDescent="0.25">
      <c r="C6" s="183" t="s">
        <v>205</v>
      </c>
    </row>
    <row r="7" spans="1:3" x14ac:dyDescent="0.25">
      <c r="A7" s="67">
        <v>10</v>
      </c>
      <c r="B7" s="67" t="s">
        <v>247</v>
      </c>
      <c r="C7" s="4">
        <f>HLOOKUP($B$4,'5.4 Tableau de l''endettement'!$C$6:$BC$24,2,0)</f>
        <v>866228.97</v>
      </c>
    </row>
    <row r="8" spans="1:3" x14ac:dyDescent="0.25">
      <c r="A8" s="67"/>
      <c r="B8" s="67"/>
      <c r="C8" s="4"/>
    </row>
    <row r="9" spans="1:3" x14ac:dyDescent="0.25">
      <c r="A9" s="67">
        <v>20</v>
      </c>
      <c r="B9" s="67" t="s">
        <v>259</v>
      </c>
      <c r="C9" s="4">
        <f>HLOOKUP($B$4,'5.4 Tableau de l''endettement'!$C$6:$BC$24,4,0)</f>
        <v>295678.96000000002</v>
      </c>
    </row>
    <row r="10" spans="1:3" x14ac:dyDescent="0.25">
      <c r="A10" s="67"/>
      <c r="B10" s="67"/>
      <c r="C10" s="4"/>
    </row>
    <row r="11" spans="1:3" x14ac:dyDescent="0.25">
      <c r="A11" s="67">
        <v>200</v>
      </c>
      <c r="B11" s="67" t="s">
        <v>460</v>
      </c>
      <c r="C11" s="4">
        <f>HLOOKUP($B$4,'5.4 Tableau de l''endettement'!$C$6:$BC$24,6,0)</f>
        <v>57543.880000000005</v>
      </c>
    </row>
    <row r="12" spans="1:3" x14ac:dyDescent="0.25">
      <c r="A12" s="67"/>
      <c r="B12" s="67"/>
      <c r="C12" s="4"/>
    </row>
    <row r="13" spans="1:3" x14ac:dyDescent="0.25">
      <c r="A13" s="67">
        <v>201</v>
      </c>
      <c r="B13" s="67" t="s">
        <v>261</v>
      </c>
      <c r="C13" s="4">
        <f>HLOOKUP($B$4,'5.4 Tableau de l''endettement'!$C$6:$BC$24,8,0)</f>
        <v>0</v>
      </c>
    </row>
    <row r="14" spans="1:3" x14ac:dyDescent="0.25">
      <c r="A14" s="67"/>
      <c r="B14" s="67"/>
      <c r="C14" s="4"/>
    </row>
    <row r="15" spans="1:3" x14ac:dyDescent="0.25">
      <c r="A15" s="67">
        <v>206</v>
      </c>
      <c r="B15" s="67" t="s">
        <v>264</v>
      </c>
      <c r="C15" s="4">
        <f>HLOOKUP($B$4,'5.4 Tableau de l''endettement'!$C$6:$BC$24,10,0)</f>
        <v>148745.70000000001</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206289.58000000002</v>
      </c>
    </row>
    <row r="21" spans="1:3" x14ac:dyDescent="0.25">
      <c r="A21" s="67"/>
      <c r="B21" s="69" t="s">
        <v>458</v>
      </c>
      <c r="C21" s="70">
        <f>HLOOKUP($B$4,'5.4 Tableau de l''endettement'!$C$6:$BC$24,16,0)</f>
        <v>1097.2850000000001</v>
      </c>
    </row>
    <row r="22" spans="1:3" x14ac:dyDescent="0.25">
      <c r="A22" s="67"/>
      <c r="B22" s="7"/>
      <c r="C22" s="4"/>
    </row>
    <row r="23" spans="1:3" x14ac:dyDescent="0.25">
      <c r="A23" s="67"/>
      <c r="B23" s="99" t="s">
        <v>656</v>
      </c>
      <c r="C23" s="100">
        <f>HLOOKUP($B$4,'5.4 Tableau de l''endettement'!$C$6:$BC$24,18,0)</f>
        <v>-570550.01</v>
      </c>
    </row>
    <row r="24" spans="1:3" x14ac:dyDescent="0.25">
      <c r="A24" s="67"/>
      <c r="B24" s="69" t="s">
        <v>458</v>
      </c>
      <c r="C24" s="70">
        <f>HLOOKUP($B$4,'5.4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866229.02</v>
      </c>
    </row>
    <row r="30" spans="1:3" x14ac:dyDescent="0.25">
      <c r="A30" s="67"/>
      <c r="B30" s="67"/>
      <c r="C30" s="4"/>
    </row>
    <row r="31" spans="1:3" x14ac:dyDescent="0.25">
      <c r="A31" s="67">
        <v>20</v>
      </c>
      <c r="B31" s="67" t="s">
        <v>259</v>
      </c>
      <c r="C31" s="4">
        <f>HLOOKUP($B$4,'5.4 Tableau de l''endettement'!$C$6:$BC$49,26,0)</f>
        <v>295678.96000000002</v>
      </c>
    </row>
    <row r="32" spans="1:3" x14ac:dyDescent="0.25">
      <c r="A32" s="67"/>
      <c r="B32" s="67"/>
      <c r="C32" s="4"/>
    </row>
    <row r="33" spans="1:3" x14ac:dyDescent="0.25">
      <c r="A33" s="67">
        <v>200</v>
      </c>
      <c r="B33" s="67" t="s">
        <v>460</v>
      </c>
      <c r="C33" s="4">
        <f>HLOOKUP($B$4,'5.4 Tableau de l''endettement'!$C$6:$BC$49,28,0)</f>
        <v>57543.88</v>
      </c>
    </row>
    <row r="34" spans="1:3" x14ac:dyDescent="0.25">
      <c r="A34" s="67"/>
      <c r="B34" s="67"/>
      <c r="C34" s="4"/>
    </row>
    <row r="35" spans="1:3" x14ac:dyDescent="0.25">
      <c r="A35" s="67">
        <v>201</v>
      </c>
      <c r="B35" s="67" t="s">
        <v>261</v>
      </c>
      <c r="C35" s="4">
        <f>HLOOKUP($B$4,'5.4 Tableau de l''endettement'!$C$6:$BC$49,30,0)</f>
        <v>0</v>
      </c>
    </row>
    <row r="36" spans="1:3" x14ac:dyDescent="0.25">
      <c r="A36" s="67"/>
      <c r="B36" s="67"/>
      <c r="C36" s="4"/>
    </row>
    <row r="37" spans="1:3" x14ac:dyDescent="0.25">
      <c r="A37" s="67">
        <v>206</v>
      </c>
      <c r="B37" s="67" t="s">
        <v>264</v>
      </c>
      <c r="C37" s="4">
        <f>HLOOKUP($B$4,'5.4 Tableau de l''endettement'!$C$6:$BC$49,32,0)</f>
        <v>148745.70000000001</v>
      </c>
    </row>
    <row r="38" spans="1:3" x14ac:dyDescent="0.25">
      <c r="A38" s="67"/>
      <c r="B38" s="67"/>
      <c r="C38" s="4"/>
    </row>
    <row r="39" spans="1:3" x14ac:dyDescent="0.25">
      <c r="A39" s="67">
        <v>2016</v>
      </c>
      <c r="B39" s="67" t="s">
        <v>276</v>
      </c>
      <c r="C39" s="4">
        <f>HLOOKUP($B$4,'5.4 Tableau de l''endettement'!$C$6:$BC$49,34,0)</f>
        <v>0</v>
      </c>
    </row>
    <row r="40" spans="1:3" x14ac:dyDescent="0.25">
      <c r="A40" s="67"/>
      <c r="B40" s="67"/>
      <c r="C40" s="4"/>
    </row>
    <row r="41" spans="1:3" x14ac:dyDescent="0.25">
      <c r="A41" s="67"/>
      <c r="B41" s="67"/>
      <c r="C41" s="4"/>
    </row>
    <row r="42" spans="1:3" x14ac:dyDescent="0.25">
      <c r="A42" s="67"/>
      <c r="B42" s="99" t="s">
        <v>657</v>
      </c>
      <c r="C42" s="100">
        <f>HLOOKUP($B$4,'5.4 Tableau de l''endettement'!$C$6:$BC$49,37,0)</f>
        <v>206289.58000000002</v>
      </c>
    </row>
    <row r="43" spans="1:3" x14ac:dyDescent="0.25">
      <c r="A43" s="67"/>
      <c r="B43" s="69" t="s">
        <v>458</v>
      </c>
      <c r="C43" s="70">
        <f>HLOOKUP($B$4,'5.4 Tableau de l''endettement'!$C$6:$BC$49,38,0)</f>
        <v>1097.2850000000001</v>
      </c>
    </row>
    <row r="44" spans="1:3" x14ac:dyDescent="0.25">
      <c r="A44" s="67"/>
      <c r="B44" s="7"/>
      <c r="C44" s="4"/>
    </row>
    <row r="45" spans="1:3" x14ac:dyDescent="0.25">
      <c r="A45" s="67"/>
      <c r="B45" s="99" t="s">
        <v>658</v>
      </c>
      <c r="C45" s="100">
        <f>HLOOKUP($B$4,'5.4 Tableau de l''endettement'!$C$6:$BC$49,40,0)</f>
        <v>-570550.06000000006</v>
      </c>
    </row>
    <row r="46" spans="1:3" x14ac:dyDescent="0.25">
      <c r="A46" s="67"/>
      <c r="B46" s="69" t="s">
        <v>458</v>
      </c>
      <c r="C46" s="70">
        <f>HLOOKUP($B$4,'5.4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tabSelected="1" workbookViewId="0">
      <pane xSplit="4" ySplit="3" topLeftCell="BF4" activePane="bottomRight" state="frozen"/>
      <selection pane="topRight" activeCell="E1" sqref="E1"/>
      <selection pane="bottomLeft" activeCell="A4" sqref="A4"/>
      <selection pane="bottomRight" activeCell="BL16" sqref="BL16"/>
    </sheetView>
  </sheetViews>
  <sheetFormatPr baseColWidth="10" defaultRowHeight="15" x14ac:dyDescent="0.25"/>
  <cols>
    <col min="1" max="2" width="5.7109375" customWidth="1"/>
    <col min="3" max="3" width="9" customWidth="1"/>
    <col min="4" max="4" width="63.5703125" customWidth="1"/>
    <col min="5" max="57" width="16.28515625" hidden="1" customWidth="1"/>
    <col min="58"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D13" sqref="D13"/>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5" t="s">
        <v>25</v>
      </c>
    </row>
    <row r="7" spans="1:5" ht="21" x14ac:dyDescent="0.35">
      <c r="A7" s="102">
        <v>5</v>
      </c>
      <c r="B7" s="102"/>
      <c r="C7" s="102"/>
      <c r="D7" s="102" t="s">
        <v>193</v>
      </c>
      <c r="E7" s="186">
        <f>HLOOKUP($D$4,'6.1 Investissements'!$E$3:$BE$185,2,0)</f>
        <v>6219.65</v>
      </c>
    </row>
    <row r="8" spans="1:5" x14ac:dyDescent="0.25">
      <c r="A8" s="78"/>
      <c r="B8" s="69">
        <v>50</v>
      </c>
      <c r="C8" s="69"/>
      <c r="D8" s="69" t="s">
        <v>465</v>
      </c>
      <c r="E8" s="70">
        <f>SUM(E9:E16)</f>
        <v>0</v>
      </c>
    </row>
    <row r="9" spans="1:5" x14ac:dyDescent="0.25">
      <c r="C9">
        <v>500</v>
      </c>
      <c r="D9" t="s">
        <v>467</v>
      </c>
      <c r="E9" s="4">
        <f>HLOOKUP($D$4,'6.1 Investissements'!$E$3:$BE$185,4,0)</f>
        <v>0</v>
      </c>
    </row>
    <row r="10" spans="1:5" x14ac:dyDescent="0.25">
      <c r="C10">
        <v>501</v>
      </c>
      <c r="D10" t="s">
        <v>468</v>
      </c>
      <c r="E10" s="4">
        <f>HLOOKUP($D$4,'6.1 Investissements'!$E$3:$BE$185,5,0)</f>
        <v>0</v>
      </c>
    </row>
    <row r="11" spans="1:5" x14ac:dyDescent="0.25">
      <c r="C11">
        <v>502</v>
      </c>
      <c r="D11" t="s">
        <v>469</v>
      </c>
      <c r="E11" s="4">
        <f>HLOOKUP($D$4,'6.1 Investissements'!$E$3:$BE$185,6,0)</f>
        <v>0</v>
      </c>
    </row>
    <row r="12" spans="1:5" x14ac:dyDescent="0.25">
      <c r="C12">
        <v>503</v>
      </c>
      <c r="D12" t="s">
        <v>470</v>
      </c>
      <c r="E12" s="4">
        <f>HLOOKUP($D$4,'6.1 Investissements'!$E$3:$BE$185,7,0)</f>
        <v>0</v>
      </c>
    </row>
    <row r="13" spans="1:5" x14ac:dyDescent="0.25">
      <c r="C13">
        <v>504</v>
      </c>
      <c r="D13" t="s">
        <v>471</v>
      </c>
      <c r="E13" s="4">
        <f>HLOOKUP($D$4,'6.1 Investissements'!$E$3:$BE$185,8,0)</f>
        <v>0</v>
      </c>
    </row>
    <row r="14" spans="1:5" x14ac:dyDescent="0.25">
      <c r="C14">
        <v>505</v>
      </c>
      <c r="D14" t="s">
        <v>472</v>
      </c>
      <c r="E14" s="4">
        <f>HLOOKUP($D$4,'6.1 Investissements'!$E$3:$BE$185,9,0)</f>
        <v>0</v>
      </c>
    </row>
    <row r="15" spans="1:5" x14ac:dyDescent="0.25">
      <c r="C15">
        <v>506</v>
      </c>
      <c r="D15" t="s">
        <v>473</v>
      </c>
      <c r="E15" s="4">
        <f>HLOOKUP($D$4,'6.1 Investissements'!$E$3:$BE$185,10,0)</f>
        <v>0</v>
      </c>
    </row>
    <row r="16" spans="1:5" x14ac:dyDescent="0.25">
      <c r="C16">
        <v>509</v>
      </c>
      <c r="D16" t="s">
        <v>474</v>
      </c>
      <c r="E16" s="4">
        <f>HLOOKUP($D$4,'6.1 Investissements'!$E$3:$BE$185,11,0)</f>
        <v>0</v>
      </c>
    </row>
    <row r="18" spans="2:5" x14ac:dyDescent="0.25">
      <c r="B18" s="69">
        <v>51</v>
      </c>
      <c r="C18" s="69"/>
      <c r="D18" s="69" t="s">
        <v>466</v>
      </c>
      <c r="E18" s="70">
        <f>SUM(E19:E26)</f>
        <v>0</v>
      </c>
    </row>
    <row r="19" spans="2:5" x14ac:dyDescent="0.25">
      <c r="C19">
        <v>510</v>
      </c>
      <c r="D19" t="s">
        <v>467</v>
      </c>
      <c r="E19" s="4">
        <f>HLOOKUP($D$4,'6.1 Investissements'!$E$3:$BE$185,14,0)</f>
        <v>0</v>
      </c>
    </row>
    <row r="20" spans="2:5" x14ac:dyDescent="0.25">
      <c r="C20">
        <v>511</v>
      </c>
      <c r="D20" t="s">
        <v>468</v>
      </c>
      <c r="E20" s="4">
        <f>HLOOKUP($D$4,'6.1 Investissements'!$E$3:$BE$185,15,0)</f>
        <v>0</v>
      </c>
    </row>
    <row r="21" spans="2:5" x14ac:dyDescent="0.25">
      <c r="C21">
        <v>512</v>
      </c>
      <c r="D21" t="s">
        <v>469</v>
      </c>
      <c r="E21" s="4">
        <f>HLOOKUP($D$4,'6.1 Investissements'!$E$3:$BE$185,16,0)</f>
        <v>0</v>
      </c>
    </row>
    <row r="22" spans="2:5" x14ac:dyDescent="0.25">
      <c r="C22">
        <v>513</v>
      </c>
      <c r="D22" t="s">
        <v>470</v>
      </c>
      <c r="E22" s="4">
        <f>HLOOKUP($D$4,'6.1 Investissements'!$E$3:$BE$185,17,0)</f>
        <v>0</v>
      </c>
    </row>
    <row r="23" spans="2:5" x14ac:dyDescent="0.25">
      <c r="C23">
        <v>514</v>
      </c>
      <c r="D23" t="s">
        <v>471</v>
      </c>
      <c r="E23" s="4">
        <f>HLOOKUP($D$4,'6.1 Investissements'!$E$3:$BE$185,18,0)</f>
        <v>0</v>
      </c>
    </row>
    <row r="24" spans="2:5" x14ac:dyDescent="0.25">
      <c r="C24">
        <v>515</v>
      </c>
      <c r="D24" t="s">
        <v>472</v>
      </c>
      <c r="E24" s="4">
        <f>HLOOKUP($D$4,'6.1 Investissements'!$E$3:$BE$185,19,0)</f>
        <v>0</v>
      </c>
    </row>
    <row r="25" spans="2:5" x14ac:dyDescent="0.25">
      <c r="C25">
        <v>516</v>
      </c>
      <c r="D25" t="s">
        <v>473</v>
      </c>
      <c r="E25" s="4">
        <f>HLOOKUP($D$4,'6.1 Investissements'!$E$3:$BE$185,20,0)</f>
        <v>0</v>
      </c>
    </row>
    <row r="26" spans="2:5" x14ac:dyDescent="0.25">
      <c r="C26">
        <v>519</v>
      </c>
      <c r="D26" t="s">
        <v>474</v>
      </c>
      <c r="E26" s="4">
        <f>HLOOKUP($D$4,'6.1 Investissements'!$E$3:$BE$185,21,0)</f>
        <v>0</v>
      </c>
    </row>
    <row r="28" spans="2:5" x14ac:dyDescent="0.25">
      <c r="B28" s="69">
        <v>52</v>
      </c>
      <c r="C28" s="69"/>
      <c r="D28" s="69" t="s">
        <v>475</v>
      </c>
      <c r="E28" s="70">
        <f>SUM(E29:E31)</f>
        <v>6219.65</v>
      </c>
    </row>
    <row r="29" spans="2:5" x14ac:dyDescent="0.25">
      <c r="C29">
        <v>520</v>
      </c>
      <c r="D29" t="s">
        <v>375</v>
      </c>
      <c r="E29" s="4">
        <f>HLOOKUP($D$4,'6.1 Investissements'!$E$3:$BE$185,24,0)</f>
        <v>0</v>
      </c>
    </row>
    <row r="30" spans="2:5" x14ac:dyDescent="0.25">
      <c r="C30">
        <v>521</v>
      </c>
      <c r="D30" t="s">
        <v>376</v>
      </c>
      <c r="E30" s="4">
        <f>HLOOKUP($D$4,'6.1 Investissements'!$E$3:$BE$185,25,0)</f>
        <v>0</v>
      </c>
    </row>
    <row r="31" spans="2:5" x14ac:dyDescent="0.25">
      <c r="C31">
        <v>529</v>
      </c>
      <c r="D31" t="s">
        <v>476</v>
      </c>
      <c r="E31" s="4">
        <f>HLOOKUP($D$4,'6.1 Investissements'!$E$3:$BE$185,26,0)</f>
        <v>6219.65</v>
      </c>
    </row>
    <row r="33" spans="2:5" x14ac:dyDescent="0.25">
      <c r="B33" s="69">
        <v>54</v>
      </c>
      <c r="C33" s="69"/>
      <c r="D33" s="69" t="s">
        <v>257</v>
      </c>
      <c r="E33" s="70">
        <f>SUM(E34:E42)</f>
        <v>0</v>
      </c>
    </row>
    <row r="34" spans="2:5" x14ac:dyDescent="0.25">
      <c r="C34">
        <v>540</v>
      </c>
      <c r="D34" t="s">
        <v>477</v>
      </c>
      <c r="E34" s="4">
        <f>HLOOKUP($D$4,'6.1 Investissements'!$E$3:$BE$185,29,0)</f>
        <v>0</v>
      </c>
    </row>
    <row r="35" spans="2:5" x14ac:dyDescent="0.25">
      <c r="C35">
        <v>541</v>
      </c>
      <c r="D35" t="s">
        <v>478</v>
      </c>
      <c r="E35" s="4">
        <f>HLOOKUP($D$4,'6.1 Investissements'!$E$3:$BE$185,30,0)</f>
        <v>0</v>
      </c>
    </row>
    <row r="36" spans="2:5" x14ac:dyDescent="0.25">
      <c r="C36">
        <v>542</v>
      </c>
      <c r="D36" t="s">
        <v>479</v>
      </c>
      <c r="E36" s="4">
        <f>HLOOKUP($D$4,'6.1 Investissements'!$E$3:$BE$185,31,0)</f>
        <v>0</v>
      </c>
    </row>
    <row r="37" spans="2:5" x14ac:dyDescent="0.25">
      <c r="C37">
        <v>543</v>
      </c>
      <c r="D37" t="s">
        <v>480</v>
      </c>
      <c r="E37" s="4">
        <f>HLOOKUP($D$4,'6.1 Investissements'!$E$3:$BE$185,32,0)</f>
        <v>0</v>
      </c>
    </row>
    <row r="38" spans="2:5" x14ac:dyDescent="0.25">
      <c r="C38">
        <v>544</v>
      </c>
      <c r="D38" t="s">
        <v>481</v>
      </c>
      <c r="E38" s="4">
        <f>HLOOKUP($D$4,'6.1 Investissements'!$E$3:$BE$185,33,0)</f>
        <v>0</v>
      </c>
    </row>
    <row r="39" spans="2:5" x14ac:dyDescent="0.25">
      <c r="C39">
        <v>545</v>
      </c>
      <c r="D39" t="s">
        <v>482</v>
      </c>
      <c r="E39" s="4">
        <f>HLOOKUP($D$4,'6.1 Investissements'!$E$3:$BE$185,34,0)</f>
        <v>0</v>
      </c>
    </row>
    <row r="40" spans="2:5" x14ac:dyDescent="0.25">
      <c r="C40">
        <v>546</v>
      </c>
      <c r="D40" t="s">
        <v>483</v>
      </c>
      <c r="E40" s="4">
        <f>HLOOKUP($D$4,'6.1 Investissements'!$E$3:$BE$185,35,0)</f>
        <v>0</v>
      </c>
    </row>
    <row r="41" spans="2:5" x14ac:dyDescent="0.25">
      <c r="C41">
        <v>547</v>
      </c>
      <c r="D41" t="s">
        <v>484</v>
      </c>
      <c r="E41" s="4">
        <f>HLOOKUP($D$4,'6.1 Investissements'!$E$3:$BE$185,36,0)</f>
        <v>0</v>
      </c>
    </row>
    <row r="42" spans="2:5" x14ac:dyDescent="0.25">
      <c r="C42">
        <v>548</v>
      </c>
      <c r="D42" t="s">
        <v>485</v>
      </c>
      <c r="E42" s="4">
        <f>HLOOKUP($D$4,'6.1 Investissements'!$E$3:$BE$185,37,0)</f>
        <v>0</v>
      </c>
    </row>
    <row r="44" spans="2:5" x14ac:dyDescent="0.25">
      <c r="B44" s="69">
        <v>55</v>
      </c>
      <c r="C44" s="69"/>
      <c r="D44" s="69" t="s">
        <v>388</v>
      </c>
      <c r="E44" s="70">
        <f>SUM(E45:E53)</f>
        <v>0</v>
      </c>
    </row>
    <row r="45" spans="2:5" x14ac:dyDescent="0.25">
      <c r="C45">
        <v>550</v>
      </c>
      <c r="D45" t="s">
        <v>477</v>
      </c>
      <c r="E45" s="4">
        <f>HLOOKUP($D$4,'6.1 Investissements'!$E$3:$BE$185,40,0)</f>
        <v>0</v>
      </c>
    </row>
    <row r="46" spans="2:5" x14ac:dyDescent="0.25">
      <c r="C46">
        <v>551</v>
      </c>
      <c r="D46" t="s">
        <v>478</v>
      </c>
      <c r="E46" s="4">
        <f>HLOOKUP($D$4,'6.1 Investissements'!$E$3:$BE$185,41,0)</f>
        <v>0</v>
      </c>
    </row>
    <row r="47" spans="2:5" x14ac:dyDescent="0.25">
      <c r="C47">
        <v>552</v>
      </c>
      <c r="D47" t="s">
        <v>479</v>
      </c>
      <c r="E47" s="4">
        <f>HLOOKUP($D$4,'6.1 Investissements'!$E$3:$BE$185,42,0)</f>
        <v>0</v>
      </c>
    </row>
    <row r="48" spans="2:5" x14ac:dyDescent="0.25">
      <c r="C48">
        <v>553</v>
      </c>
      <c r="D48" t="s">
        <v>480</v>
      </c>
      <c r="E48" s="4">
        <f>HLOOKUP($D$4,'6.1 Investissements'!$E$3:$BE$185,43,0)</f>
        <v>0</v>
      </c>
    </row>
    <row r="49" spans="2:5" x14ac:dyDescent="0.25">
      <c r="C49">
        <v>554</v>
      </c>
      <c r="D49" t="s">
        <v>481</v>
      </c>
      <c r="E49" s="4">
        <f>HLOOKUP($D$4,'6.1 Investissements'!$E$3:$BE$185,44,0)</f>
        <v>0</v>
      </c>
    </row>
    <row r="50" spans="2:5" x14ac:dyDescent="0.25">
      <c r="C50">
        <v>555</v>
      </c>
      <c r="D50" t="s">
        <v>482</v>
      </c>
      <c r="E50" s="4">
        <f>HLOOKUP($D$4,'6.1 Investissements'!$E$3:$BE$185,45,0)</f>
        <v>0</v>
      </c>
    </row>
    <row r="51" spans="2:5" x14ac:dyDescent="0.25">
      <c r="C51">
        <v>556</v>
      </c>
      <c r="D51" t="s">
        <v>483</v>
      </c>
      <c r="E51" s="4">
        <f>HLOOKUP($D$4,'6.1 Investissements'!$E$3:$BE$185,46,0)</f>
        <v>0</v>
      </c>
    </row>
    <row r="52" spans="2:5" x14ac:dyDescent="0.25">
      <c r="C52">
        <v>557</v>
      </c>
      <c r="D52" t="s">
        <v>484</v>
      </c>
      <c r="E52" s="4">
        <f>HLOOKUP($D$4,'6.1 Investissements'!$E$3:$BE$185,47,0)</f>
        <v>0</v>
      </c>
    </row>
    <row r="53" spans="2:5" x14ac:dyDescent="0.25">
      <c r="C53">
        <v>558</v>
      </c>
      <c r="D53" t="s">
        <v>485</v>
      </c>
      <c r="E53" s="4">
        <f>HLOOKUP($D$4,'6.1 Investissements'!$E$3:$BE$185,48,0)</f>
        <v>0</v>
      </c>
    </row>
    <row r="55" spans="2:5" x14ac:dyDescent="0.25">
      <c r="B55" s="69">
        <v>56</v>
      </c>
      <c r="C55" s="69"/>
      <c r="D55" s="69" t="s">
        <v>486</v>
      </c>
      <c r="E55" s="70">
        <f>SUM(E56:E64)</f>
        <v>0</v>
      </c>
    </row>
    <row r="56" spans="2:5" x14ac:dyDescent="0.25">
      <c r="C56">
        <v>560</v>
      </c>
      <c r="D56" t="s">
        <v>477</v>
      </c>
      <c r="E56" s="4">
        <f>HLOOKUP($D$4,'6.1 Investissements'!$E$3:$BE$185,51,0)</f>
        <v>0</v>
      </c>
    </row>
    <row r="57" spans="2:5" x14ac:dyDescent="0.25">
      <c r="C57">
        <v>561</v>
      </c>
      <c r="D57" t="s">
        <v>478</v>
      </c>
      <c r="E57" s="4">
        <f>HLOOKUP($D$4,'6.1 Investissements'!$E$3:$BE$185,52,0)</f>
        <v>0</v>
      </c>
    </row>
    <row r="58" spans="2:5" x14ac:dyDescent="0.25">
      <c r="C58">
        <v>562</v>
      </c>
      <c r="D58" t="s">
        <v>479</v>
      </c>
      <c r="E58" s="4">
        <f>HLOOKUP($D$4,'6.1 Investissements'!$E$3:$BE$185,53,0)</f>
        <v>0</v>
      </c>
    </row>
    <row r="59" spans="2:5" x14ac:dyDescent="0.25">
      <c r="C59">
        <v>563</v>
      </c>
      <c r="D59" t="s">
        <v>480</v>
      </c>
      <c r="E59" s="4">
        <f>HLOOKUP($D$4,'6.1 Investissements'!$E$3:$BE$185,54,0)</f>
        <v>0</v>
      </c>
    </row>
    <row r="60" spans="2:5" x14ac:dyDescent="0.25">
      <c r="C60">
        <v>564</v>
      </c>
      <c r="D60" t="s">
        <v>481</v>
      </c>
      <c r="E60" s="4">
        <f>HLOOKUP($D$4,'6.1 Investissements'!$E$3:$BE$185,55,0)</f>
        <v>0</v>
      </c>
    </row>
    <row r="61" spans="2:5" x14ac:dyDescent="0.25">
      <c r="C61">
        <v>565</v>
      </c>
      <c r="D61" t="s">
        <v>482</v>
      </c>
      <c r="E61" s="4">
        <f>HLOOKUP($D$4,'6.1 Investissements'!$E$3:$BE$185,56,0)</f>
        <v>0</v>
      </c>
    </row>
    <row r="62" spans="2:5" x14ac:dyDescent="0.25">
      <c r="C62">
        <v>566</v>
      </c>
      <c r="D62" t="s">
        <v>483</v>
      </c>
      <c r="E62" s="4">
        <f>HLOOKUP($D$4,'6.1 Investissements'!$E$3:$BE$185,57,0)</f>
        <v>0</v>
      </c>
    </row>
    <row r="63" spans="2:5" x14ac:dyDescent="0.25">
      <c r="C63">
        <v>567</v>
      </c>
      <c r="D63" t="s">
        <v>484</v>
      </c>
      <c r="E63" s="4">
        <f>HLOOKUP($D$4,'6.1 Investissements'!$E$3:$BE$185,58,0)</f>
        <v>0</v>
      </c>
    </row>
    <row r="64" spans="2:5" x14ac:dyDescent="0.25">
      <c r="C64">
        <v>568</v>
      </c>
      <c r="D64" t="s">
        <v>485</v>
      </c>
      <c r="E64" s="4">
        <f>HLOOKUP($D$4,'6.1 Investissements'!$E$3:$BE$185,59,0)</f>
        <v>0</v>
      </c>
    </row>
    <row r="66" spans="2:5" x14ac:dyDescent="0.25">
      <c r="B66" s="69">
        <v>57</v>
      </c>
      <c r="C66" s="69"/>
      <c r="D66" s="69" t="s">
        <v>487</v>
      </c>
      <c r="E66" s="70">
        <f>SUM(E67:E75)</f>
        <v>0</v>
      </c>
    </row>
    <row r="67" spans="2:5" x14ac:dyDescent="0.25">
      <c r="C67">
        <v>570</v>
      </c>
      <c r="D67" t="s">
        <v>477</v>
      </c>
      <c r="E67" s="4">
        <f>HLOOKUP($D$4,'6.1 Investissements'!$E$3:$BE$185,62,0)</f>
        <v>0</v>
      </c>
    </row>
    <row r="68" spans="2:5" x14ac:dyDescent="0.25">
      <c r="C68">
        <v>571</v>
      </c>
      <c r="D68" t="s">
        <v>478</v>
      </c>
      <c r="E68" s="4">
        <f>HLOOKUP($D$4,'6.1 Investissements'!$E$3:$BE$185,63,0)</f>
        <v>0</v>
      </c>
    </row>
    <row r="69" spans="2:5" x14ac:dyDescent="0.25">
      <c r="C69">
        <v>572</v>
      </c>
      <c r="D69" t="s">
        <v>479</v>
      </c>
      <c r="E69" s="4">
        <f>HLOOKUP($D$4,'6.1 Investissements'!$E$3:$BE$185,64,0)</f>
        <v>0</v>
      </c>
    </row>
    <row r="70" spans="2:5" x14ac:dyDescent="0.25">
      <c r="C70">
        <v>573</v>
      </c>
      <c r="D70" t="s">
        <v>480</v>
      </c>
      <c r="E70" s="4">
        <f>HLOOKUP($D$4,'6.1 Investissements'!$E$3:$BE$185,65,0)</f>
        <v>0</v>
      </c>
    </row>
    <row r="71" spans="2:5" x14ac:dyDescent="0.25">
      <c r="C71">
        <v>574</v>
      </c>
      <c r="D71" t="s">
        <v>481</v>
      </c>
      <c r="E71" s="4">
        <f>HLOOKUP($D$4,'6.1 Investissements'!$E$3:$BE$185,66,0)</f>
        <v>0</v>
      </c>
    </row>
    <row r="72" spans="2:5" x14ac:dyDescent="0.25">
      <c r="C72">
        <v>575</v>
      </c>
      <c r="D72" t="s">
        <v>482</v>
      </c>
      <c r="E72" s="4">
        <f>HLOOKUP($D$4,'6.1 Investissements'!$E$3:$BE$185,67,0)</f>
        <v>0</v>
      </c>
    </row>
    <row r="73" spans="2:5" x14ac:dyDescent="0.25">
      <c r="C73">
        <v>576</v>
      </c>
      <c r="D73" t="s">
        <v>483</v>
      </c>
      <c r="E73" s="4">
        <f>HLOOKUP($D$4,'6.1 Investissements'!$E$3:$BE$185,68,0)</f>
        <v>0</v>
      </c>
    </row>
    <row r="74" spans="2:5" x14ac:dyDescent="0.25">
      <c r="C74">
        <v>577</v>
      </c>
      <c r="D74" t="s">
        <v>484</v>
      </c>
      <c r="E74" s="4">
        <f>HLOOKUP($D$4,'6.1 Investissements'!$E$3:$BE$185,69,0)</f>
        <v>0</v>
      </c>
    </row>
    <row r="75" spans="2:5" x14ac:dyDescent="0.25">
      <c r="C75">
        <v>578</v>
      </c>
      <c r="D75" t="s">
        <v>485</v>
      </c>
      <c r="E75" s="4">
        <f>HLOOKUP($D$4,'6.1 Investissements'!$E$3:$BE$185,70,0)</f>
        <v>0</v>
      </c>
    </row>
    <row r="77" spans="2:5" x14ac:dyDescent="0.25">
      <c r="B77" s="69">
        <v>58</v>
      </c>
      <c r="C77" s="69"/>
      <c r="D77" s="69" t="s">
        <v>488</v>
      </c>
      <c r="E77" s="70">
        <f>SUM(E78:E83)</f>
        <v>0</v>
      </c>
    </row>
    <row r="78" spans="2:5" x14ac:dyDescent="0.25">
      <c r="C78">
        <v>580</v>
      </c>
      <c r="D78" t="s">
        <v>465</v>
      </c>
      <c r="E78" s="4">
        <f>HLOOKUP($D$4,'6.1 Investissements'!$E$3:$BE$185,73,0)</f>
        <v>0</v>
      </c>
    </row>
    <row r="79" spans="2:5" x14ac:dyDescent="0.25">
      <c r="C79">
        <v>582</v>
      </c>
      <c r="D79" t="s">
        <v>475</v>
      </c>
      <c r="E79" s="4">
        <f>HLOOKUP($D$4,'6.1 Investissements'!$E$3:$BE$185,74,0)</f>
        <v>0</v>
      </c>
    </row>
    <row r="80" spans="2:5" x14ac:dyDescent="0.25">
      <c r="C80">
        <v>584</v>
      </c>
      <c r="D80" t="s">
        <v>257</v>
      </c>
      <c r="E80" s="4">
        <f>HLOOKUP($D$4,'6.1 Investissements'!$E$3:$BE$185,75,0)</f>
        <v>0</v>
      </c>
    </row>
    <row r="81" spans="1:5" x14ac:dyDescent="0.25">
      <c r="C81">
        <v>585</v>
      </c>
      <c r="D81" t="s">
        <v>388</v>
      </c>
      <c r="E81" s="4">
        <f>HLOOKUP($D$4,'6.1 Investissements'!$E$3:$BE$185,76,0)</f>
        <v>0</v>
      </c>
    </row>
    <row r="82" spans="1:5" x14ac:dyDescent="0.25">
      <c r="C82">
        <v>586</v>
      </c>
      <c r="D82" t="s">
        <v>489</v>
      </c>
      <c r="E82" s="4">
        <f>HLOOKUP($D$4,'6.1 Investissements'!$E$3:$BE$185,77,0)</f>
        <v>0</v>
      </c>
    </row>
    <row r="83" spans="1:5" x14ac:dyDescent="0.25">
      <c r="C83">
        <v>589</v>
      </c>
      <c r="D83" t="s">
        <v>490</v>
      </c>
      <c r="E83" s="4">
        <f>HLOOKUP($D$4,'6.1 Investissements'!$E$3:$BE$185,78,0)</f>
        <v>0</v>
      </c>
    </row>
    <row r="85" spans="1:5" x14ac:dyDescent="0.25">
      <c r="B85" s="69">
        <v>59</v>
      </c>
      <c r="C85" s="69"/>
      <c r="D85" s="69" t="s">
        <v>491</v>
      </c>
      <c r="E85" s="70">
        <f>SUM(E86)</f>
        <v>0</v>
      </c>
    </row>
    <row r="86" spans="1:5" x14ac:dyDescent="0.25">
      <c r="C86">
        <v>590</v>
      </c>
      <c r="D86" t="s">
        <v>491</v>
      </c>
      <c r="E86" s="4">
        <f>HLOOKUP($D$4,'6.1 Investissements'!$E$3:$BE$185,81,0)</f>
        <v>0</v>
      </c>
    </row>
    <row r="90" spans="1:5" ht="21" x14ac:dyDescent="0.35">
      <c r="A90" s="104">
        <v>6</v>
      </c>
      <c r="B90" s="104"/>
      <c r="C90" s="104"/>
      <c r="D90" s="104" t="s">
        <v>492</v>
      </c>
      <c r="E90" s="187">
        <f>HLOOKUP($D$4,'6.1 Investissements'!$E$3:$BE$185,85,0)</f>
        <v>0</v>
      </c>
    </row>
    <row r="91" spans="1:5" x14ac:dyDescent="0.25">
      <c r="A91" s="7"/>
      <c r="B91" s="105">
        <v>60</v>
      </c>
      <c r="C91" s="105"/>
      <c r="D91" s="105" t="s">
        <v>493</v>
      </c>
      <c r="E91" s="103">
        <f>SUM(E92:E99)</f>
        <v>0</v>
      </c>
    </row>
    <row r="92" spans="1:5" x14ac:dyDescent="0.25">
      <c r="C92">
        <v>600</v>
      </c>
      <c r="D92" t="s">
        <v>467</v>
      </c>
      <c r="E92" s="4">
        <f>HLOOKUP($D$4,'6.1 Investissements'!$E$3:$BE$185,87,0)</f>
        <v>0</v>
      </c>
    </row>
    <row r="93" spans="1:5" x14ac:dyDescent="0.25">
      <c r="C93">
        <v>601</v>
      </c>
      <c r="D93" t="s">
        <v>468</v>
      </c>
      <c r="E93" s="4">
        <f>HLOOKUP($D$4,'6.1 Investissements'!$E$3:$BE$185,88,0)</f>
        <v>0</v>
      </c>
    </row>
    <row r="94" spans="1:5" x14ac:dyDescent="0.25">
      <c r="C94">
        <v>602</v>
      </c>
      <c r="D94" t="s">
        <v>469</v>
      </c>
      <c r="E94" s="4">
        <f>HLOOKUP($D$4,'6.1 Investissements'!$E$3:$BE$185,89,0)</f>
        <v>0</v>
      </c>
    </row>
    <row r="95" spans="1:5" x14ac:dyDescent="0.25">
      <c r="C95">
        <v>603</v>
      </c>
      <c r="D95" t="s">
        <v>470</v>
      </c>
      <c r="E95" s="4">
        <f>HLOOKUP($D$4,'6.1 Investissements'!$E$3:$BE$185,90,0)</f>
        <v>0</v>
      </c>
    </row>
    <row r="96" spans="1:5" x14ac:dyDescent="0.25">
      <c r="C96">
        <v>604</v>
      </c>
      <c r="D96" t="s">
        <v>471</v>
      </c>
      <c r="E96" s="4">
        <f>HLOOKUP($D$4,'6.1 Investissements'!$E$3:$BE$185,91,0)</f>
        <v>0</v>
      </c>
    </row>
    <row r="97" spans="2:5" x14ac:dyDescent="0.25">
      <c r="C97">
        <v>605</v>
      </c>
      <c r="D97" t="s">
        <v>472</v>
      </c>
      <c r="E97" s="4">
        <f>HLOOKUP($D$4,'6.1 Investissements'!$E$3:$BE$185,92,0)</f>
        <v>0</v>
      </c>
    </row>
    <row r="98" spans="2:5" x14ac:dyDescent="0.25">
      <c r="C98">
        <v>606</v>
      </c>
      <c r="D98" t="s">
        <v>473</v>
      </c>
      <c r="E98" s="4">
        <f>HLOOKUP($D$4,'6.1 Investissements'!$E$3:$BE$185,93,0)</f>
        <v>0</v>
      </c>
    </row>
    <row r="99" spans="2:5" x14ac:dyDescent="0.25">
      <c r="C99">
        <v>609</v>
      </c>
      <c r="D99" t="s">
        <v>474</v>
      </c>
      <c r="E99" s="4">
        <f>HLOOKUP($D$4,'6.1 Investissements'!$E$3:$BE$185,94,0)</f>
        <v>0</v>
      </c>
    </row>
    <row r="101" spans="2:5" x14ac:dyDescent="0.25">
      <c r="B101" s="105">
        <v>61</v>
      </c>
      <c r="C101" s="105"/>
      <c r="D101" s="105" t="s">
        <v>494</v>
      </c>
      <c r="E101" s="103">
        <f>SUM(E102:E109)</f>
        <v>0</v>
      </c>
    </row>
    <row r="102" spans="2:5" x14ac:dyDescent="0.25">
      <c r="C102">
        <v>610</v>
      </c>
      <c r="D102" t="s">
        <v>467</v>
      </c>
      <c r="E102" s="4">
        <f>HLOOKUP($D$4,'6.1 Investissements'!$E$3:$BE$185,97,0)</f>
        <v>0</v>
      </c>
    </row>
    <row r="103" spans="2:5" x14ac:dyDescent="0.25">
      <c r="C103">
        <v>611</v>
      </c>
      <c r="D103" t="s">
        <v>468</v>
      </c>
      <c r="E103" s="4">
        <f>HLOOKUP($D$4,'6.1 Investissements'!$E$3:$BE$185,98,0)</f>
        <v>0</v>
      </c>
    </row>
    <row r="104" spans="2:5" x14ac:dyDescent="0.25">
      <c r="C104">
        <v>612</v>
      </c>
      <c r="D104" t="s">
        <v>469</v>
      </c>
      <c r="E104" s="4">
        <f>HLOOKUP($D$4,'6.1 Investissements'!$E$3:$BE$185,99,0)</f>
        <v>0</v>
      </c>
    </row>
    <row r="105" spans="2:5" x14ac:dyDescent="0.25">
      <c r="C105">
        <v>613</v>
      </c>
      <c r="D105" t="s">
        <v>470</v>
      </c>
      <c r="E105" s="4">
        <f>HLOOKUP($D$4,'6.1 Investissements'!$E$3:$BE$185,100,0)</f>
        <v>0</v>
      </c>
    </row>
    <row r="106" spans="2:5" x14ac:dyDescent="0.25">
      <c r="C106">
        <v>614</v>
      </c>
      <c r="D106" t="s">
        <v>471</v>
      </c>
      <c r="E106" s="4">
        <f>HLOOKUP($D$4,'6.1 Investissements'!$E$3:$BE$185,101,0)</f>
        <v>0</v>
      </c>
    </row>
    <row r="107" spans="2:5" x14ac:dyDescent="0.25">
      <c r="C107">
        <v>615</v>
      </c>
      <c r="D107" t="s">
        <v>472</v>
      </c>
      <c r="E107" s="4">
        <f>HLOOKUP($D$4,'6.1 Investissements'!$E$3:$BE$185,102,0)</f>
        <v>0</v>
      </c>
    </row>
    <row r="108" spans="2:5" x14ac:dyDescent="0.25">
      <c r="C108">
        <v>616</v>
      </c>
      <c r="D108" t="s">
        <v>473</v>
      </c>
      <c r="E108" s="4">
        <f>HLOOKUP($D$4,'6.1 Investissements'!$E$3:$BE$185,103,0)</f>
        <v>0</v>
      </c>
    </row>
    <row r="109" spans="2:5" x14ac:dyDescent="0.25">
      <c r="C109">
        <v>619</v>
      </c>
      <c r="D109" t="s">
        <v>474</v>
      </c>
      <c r="E109" s="4">
        <f>HLOOKUP($D$4,'6.1 Investissements'!$E$3:$BE$185,104,0)</f>
        <v>0</v>
      </c>
    </row>
    <row r="111" spans="2:5" x14ac:dyDescent="0.25">
      <c r="B111" s="105">
        <v>62</v>
      </c>
      <c r="C111" s="105"/>
      <c r="D111" s="105" t="s">
        <v>495</v>
      </c>
      <c r="E111" s="103">
        <f>SUM(E112:E114)</f>
        <v>0</v>
      </c>
    </row>
    <row r="112" spans="2:5" x14ac:dyDescent="0.25">
      <c r="C112">
        <v>620</v>
      </c>
      <c r="D112" t="s">
        <v>375</v>
      </c>
      <c r="E112" s="4">
        <f>HLOOKUP($D$4,'6.1 Investissements'!$E$3:$BE$185,107,0)</f>
        <v>0</v>
      </c>
    </row>
    <row r="113" spans="2:5" x14ac:dyDescent="0.25">
      <c r="C113">
        <v>621</v>
      </c>
      <c r="D113" t="s">
        <v>376</v>
      </c>
      <c r="E113" s="4">
        <f>HLOOKUP($D$4,'6.1 Investissements'!$E$3:$BE$185,108,0)</f>
        <v>0</v>
      </c>
    </row>
    <row r="114" spans="2:5" x14ac:dyDescent="0.25">
      <c r="C114">
        <v>629</v>
      </c>
      <c r="D114" t="s">
        <v>476</v>
      </c>
      <c r="E114" s="4">
        <f>HLOOKUP($D$4,'6.1 Investissements'!$E$3:$BE$185,109,0)</f>
        <v>0</v>
      </c>
    </row>
    <row r="116" spans="2:5" x14ac:dyDescent="0.25">
      <c r="B116" s="105">
        <v>63</v>
      </c>
      <c r="C116" s="105"/>
      <c r="D116" s="105" t="s">
        <v>496</v>
      </c>
      <c r="E116" s="103">
        <f>SUM(E117:E125)</f>
        <v>0</v>
      </c>
    </row>
    <row r="117" spans="2:5" x14ac:dyDescent="0.25">
      <c r="C117">
        <v>630</v>
      </c>
      <c r="D117" t="s">
        <v>477</v>
      </c>
      <c r="E117" s="4">
        <f>HLOOKUP($D$4,'6.1 Investissements'!$E$3:$BE$185,112,0)</f>
        <v>0</v>
      </c>
    </row>
    <row r="118" spans="2:5" x14ac:dyDescent="0.25">
      <c r="C118">
        <v>631</v>
      </c>
      <c r="D118" t="s">
        <v>478</v>
      </c>
      <c r="E118" s="4">
        <f>HLOOKUP($D$4,'6.1 Investissements'!$E$3:$BE$185,113,0)</f>
        <v>0</v>
      </c>
    </row>
    <row r="119" spans="2:5" x14ac:dyDescent="0.25">
      <c r="C119">
        <v>632</v>
      </c>
      <c r="D119" t="s">
        <v>479</v>
      </c>
      <c r="E119" s="4">
        <f>HLOOKUP($D$4,'6.1 Investissements'!$E$3:$BE$185,114,0)</f>
        <v>0</v>
      </c>
    </row>
    <row r="120" spans="2:5" x14ac:dyDescent="0.25">
      <c r="C120">
        <v>633</v>
      </c>
      <c r="D120" t="s">
        <v>480</v>
      </c>
      <c r="E120" s="4">
        <f>HLOOKUP($D$4,'6.1 Investissements'!$E$3:$BE$185,115,0)</f>
        <v>0</v>
      </c>
    </row>
    <row r="121" spans="2:5" x14ac:dyDescent="0.25">
      <c r="C121">
        <v>634</v>
      </c>
      <c r="D121" t="s">
        <v>481</v>
      </c>
      <c r="E121" s="4">
        <f>HLOOKUP($D$4,'6.1 Investissements'!$E$3:$BE$185,116,0)</f>
        <v>0</v>
      </c>
    </row>
    <row r="122" spans="2:5" x14ac:dyDescent="0.25">
      <c r="C122">
        <v>635</v>
      </c>
      <c r="D122" t="s">
        <v>482</v>
      </c>
      <c r="E122" s="4">
        <f>HLOOKUP($D$4,'6.1 Investissements'!$E$3:$BE$185,117,0)</f>
        <v>0</v>
      </c>
    </row>
    <row r="123" spans="2:5" x14ac:dyDescent="0.25">
      <c r="C123">
        <v>636</v>
      </c>
      <c r="D123" t="s">
        <v>483</v>
      </c>
      <c r="E123" s="4">
        <f>HLOOKUP($D$4,'6.1 Investissements'!$E$3:$BE$185,118,0)</f>
        <v>0</v>
      </c>
    </row>
    <row r="124" spans="2:5" x14ac:dyDescent="0.25">
      <c r="C124">
        <v>637</v>
      </c>
      <c r="D124" t="s">
        <v>484</v>
      </c>
      <c r="E124" s="4">
        <f>HLOOKUP($D$4,'6.1 Investissements'!$E$3:$BE$185,119,0)</f>
        <v>0</v>
      </c>
    </row>
    <row r="125" spans="2:5" x14ac:dyDescent="0.25">
      <c r="C125">
        <v>638</v>
      </c>
      <c r="D125" t="s">
        <v>485</v>
      </c>
      <c r="E125" s="4">
        <f>HLOOKUP($D$4,'6.1 Investissements'!$E$3:$BE$185,120,0)</f>
        <v>0</v>
      </c>
    </row>
    <row r="127" spans="2:5" x14ac:dyDescent="0.25">
      <c r="B127" s="105">
        <v>64</v>
      </c>
      <c r="C127" s="105"/>
      <c r="D127" s="105" t="s">
        <v>497</v>
      </c>
      <c r="E127" s="103">
        <f>SUM(E128:E136)</f>
        <v>0</v>
      </c>
    </row>
    <row r="128" spans="2:5" x14ac:dyDescent="0.25">
      <c r="C128">
        <v>640</v>
      </c>
      <c r="D128" t="s">
        <v>477</v>
      </c>
      <c r="E128" s="4">
        <f>HLOOKUP($D$4,'6.1 Investissements'!$E$3:$BE$185,123,0)</f>
        <v>0</v>
      </c>
    </row>
    <row r="129" spans="2:5" x14ac:dyDescent="0.25">
      <c r="C129">
        <v>641</v>
      </c>
      <c r="D129" t="s">
        <v>478</v>
      </c>
      <c r="E129" s="4">
        <f>HLOOKUP($D$4,'6.1 Investissements'!$E$3:$BE$185,124,0)</f>
        <v>0</v>
      </c>
    </row>
    <row r="130" spans="2:5" x14ac:dyDescent="0.25">
      <c r="C130">
        <v>642</v>
      </c>
      <c r="D130" t="s">
        <v>479</v>
      </c>
      <c r="E130" s="4">
        <f>HLOOKUP($D$4,'6.1 Investissements'!$E$3:$BE$185,125,0)</f>
        <v>0</v>
      </c>
    </row>
    <row r="131" spans="2:5" x14ac:dyDescent="0.25">
      <c r="C131">
        <v>643</v>
      </c>
      <c r="D131" t="s">
        <v>480</v>
      </c>
      <c r="E131" s="4">
        <f>HLOOKUP($D$4,'6.1 Investissements'!$E$3:$BE$185,126,0)</f>
        <v>0</v>
      </c>
    </row>
    <row r="132" spans="2:5" x14ac:dyDescent="0.25">
      <c r="C132">
        <v>644</v>
      </c>
      <c r="D132" t="s">
        <v>481</v>
      </c>
      <c r="E132" s="4">
        <f>HLOOKUP($D$4,'6.1 Investissements'!$E$3:$BE$185,127,0)</f>
        <v>0</v>
      </c>
    </row>
    <row r="133" spans="2:5" x14ac:dyDescent="0.25">
      <c r="C133">
        <v>645</v>
      </c>
      <c r="D133" t="s">
        <v>482</v>
      </c>
      <c r="E133" s="4">
        <f>HLOOKUP($D$4,'6.1 Investissements'!$E$3:$BE$185,128,0)</f>
        <v>0</v>
      </c>
    </row>
    <row r="134" spans="2:5" x14ac:dyDescent="0.25">
      <c r="C134">
        <v>646</v>
      </c>
      <c r="D134" t="s">
        <v>483</v>
      </c>
      <c r="E134" s="4">
        <f>HLOOKUP($D$4,'6.1 Investissements'!$E$3:$BE$185,129,0)</f>
        <v>0</v>
      </c>
    </row>
    <row r="135" spans="2:5" x14ac:dyDescent="0.25">
      <c r="C135">
        <v>647</v>
      </c>
      <c r="D135" t="s">
        <v>484</v>
      </c>
      <c r="E135" s="4">
        <f>HLOOKUP($D$4,'6.1 Investissements'!$E$3:$BE$185,130,0)</f>
        <v>0</v>
      </c>
    </row>
    <row r="136" spans="2:5" x14ac:dyDescent="0.25">
      <c r="C136">
        <v>648</v>
      </c>
      <c r="D136" t="s">
        <v>485</v>
      </c>
      <c r="E136" s="4">
        <f>HLOOKUP($D$4,'6.1 Investissements'!$E$3:$BE$185,131,0)</f>
        <v>0</v>
      </c>
    </row>
    <row r="138" spans="2:5" x14ac:dyDescent="0.25">
      <c r="B138" s="105">
        <v>65</v>
      </c>
      <c r="C138" s="105"/>
      <c r="D138" s="105" t="s">
        <v>498</v>
      </c>
      <c r="E138" s="103">
        <f>SUM(E139:E147)</f>
        <v>0</v>
      </c>
    </row>
    <row r="139" spans="2:5" x14ac:dyDescent="0.25">
      <c r="C139">
        <v>650</v>
      </c>
      <c r="D139" t="s">
        <v>477</v>
      </c>
      <c r="E139" s="4">
        <f>HLOOKUP($D$4,'6.1 Investissements'!$E$3:$BE$185,134,0)</f>
        <v>0</v>
      </c>
    </row>
    <row r="140" spans="2:5" x14ac:dyDescent="0.25">
      <c r="C140">
        <v>651</v>
      </c>
      <c r="D140" t="s">
        <v>478</v>
      </c>
      <c r="E140" s="4">
        <f>HLOOKUP($D$4,'6.1 Investissements'!$E$3:$BE$185,135,0)</f>
        <v>0</v>
      </c>
    </row>
    <row r="141" spans="2:5" x14ac:dyDescent="0.25">
      <c r="C141">
        <v>652</v>
      </c>
      <c r="D141" t="s">
        <v>479</v>
      </c>
      <c r="E141" s="4">
        <f>HLOOKUP($D$4,'6.1 Investissements'!$E$3:$BE$185,136,0)</f>
        <v>0</v>
      </c>
    </row>
    <row r="142" spans="2:5" x14ac:dyDescent="0.25">
      <c r="C142">
        <v>653</v>
      </c>
      <c r="D142" t="s">
        <v>480</v>
      </c>
      <c r="E142" s="4">
        <f>HLOOKUP($D$4,'6.1 Investissements'!$E$3:$BE$185,137,0)</f>
        <v>0</v>
      </c>
    </row>
    <row r="143" spans="2:5" x14ac:dyDescent="0.25">
      <c r="C143">
        <v>654</v>
      </c>
      <c r="D143" t="s">
        <v>481</v>
      </c>
      <c r="E143" s="4">
        <f>HLOOKUP($D$4,'6.1 Investissements'!$E$3:$BE$185,138,0)</f>
        <v>0</v>
      </c>
    </row>
    <row r="144" spans="2:5" x14ac:dyDescent="0.25">
      <c r="C144">
        <v>655</v>
      </c>
      <c r="D144" t="s">
        <v>482</v>
      </c>
      <c r="E144" s="4">
        <f>HLOOKUP($D$4,'6.1 Investissements'!$E$3:$BE$185,139,0)</f>
        <v>0</v>
      </c>
    </row>
    <row r="145" spans="2:5" x14ac:dyDescent="0.25">
      <c r="C145">
        <v>656</v>
      </c>
      <c r="D145" t="s">
        <v>483</v>
      </c>
      <c r="E145" s="4">
        <f>HLOOKUP($D$4,'6.1 Investissements'!$E$3:$BE$185,140,0)</f>
        <v>0</v>
      </c>
    </row>
    <row r="146" spans="2:5" x14ac:dyDescent="0.25">
      <c r="C146">
        <v>657</v>
      </c>
      <c r="D146" t="s">
        <v>484</v>
      </c>
      <c r="E146" s="4">
        <f>HLOOKUP($D$4,'6.1 Investissements'!$E$3:$BE$185,141,0)</f>
        <v>0</v>
      </c>
    </row>
    <row r="147" spans="2:5" x14ac:dyDescent="0.25">
      <c r="C147">
        <v>658</v>
      </c>
      <c r="D147" t="s">
        <v>485</v>
      </c>
      <c r="E147" s="4">
        <f>HLOOKUP($D$4,'6.1 Investissements'!$E$3:$BE$185,142,0)</f>
        <v>0</v>
      </c>
    </row>
    <row r="149" spans="2:5" x14ac:dyDescent="0.25">
      <c r="B149" s="105">
        <v>66</v>
      </c>
      <c r="C149" s="105"/>
      <c r="D149" s="105" t="s">
        <v>499</v>
      </c>
      <c r="E149" s="103">
        <f>SUM(E150:E158)</f>
        <v>0</v>
      </c>
    </row>
    <row r="150" spans="2:5" x14ac:dyDescent="0.25">
      <c r="C150">
        <v>660</v>
      </c>
      <c r="D150" t="s">
        <v>477</v>
      </c>
      <c r="E150" s="4">
        <f>HLOOKUP($D$4,'6.1 Investissements'!$E$3:$BE$185,145,0)</f>
        <v>0</v>
      </c>
    </row>
    <row r="151" spans="2:5" x14ac:dyDescent="0.25">
      <c r="C151">
        <v>661</v>
      </c>
      <c r="D151" t="s">
        <v>478</v>
      </c>
      <c r="E151" s="4">
        <f>HLOOKUP($D$4,'6.1 Investissements'!$E$3:$BE$185,146,0)</f>
        <v>0</v>
      </c>
    </row>
    <row r="152" spans="2:5" x14ac:dyDescent="0.25">
      <c r="C152">
        <v>662</v>
      </c>
      <c r="D152" t="s">
        <v>479</v>
      </c>
      <c r="E152" s="4">
        <f>HLOOKUP($D$4,'6.1 Investissements'!$E$3:$BE$185,147,0)</f>
        <v>0</v>
      </c>
    </row>
    <row r="153" spans="2:5" x14ac:dyDescent="0.25">
      <c r="C153">
        <v>663</v>
      </c>
      <c r="D153" t="s">
        <v>480</v>
      </c>
      <c r="E153" s="4">
        <f>HLOOKUP($D$4,'6.1 Investissements'!$E$3:$BE$185,148,0)</f>
        <v>0</v>
      </c>
    </row>
    <row r="154" spans="2:5" x14ac:dyDescent="0.25">
      <c r="C154">
        <v>664</v>
      </c>
      <c r="D154" t="s">
        <v>481</v>
      </c>
      <c r="E154" s="4">
        <f>HLOOKUP($D$4,'6.1 Investissements'!$E$3:$BE$185,149,0)</f>
        <v>0</v>
      </c>
    </row>
    <row r="155" spans="2:5" x14ac:dyDescent="0.25">
      <c r="C155">
        <v>665</v>
      </c>
      <c r="D155" t="s">
        <v>482</v>
      </c>
      <c r="E155" s="4">
        <f>HLOOKUP($D$4,'6.1 Investissements'!$E$3:$BE$185,150,0)</f>
        <v>0</v>
      </c>
    </row>
    <row r="156" spans="2:5" x14ac:dyDescent="0.25">
      <c r="C156">
        <v>666</v>
      </c>
      <c r="D156" t="s">
        <v>483</v>
      </c>
      <c r="E156" s="4">
        <f>HLOOKUP($D$4,'6.1 Investissements'!$E$3:$BE$185,151,0)</f>
        <v>0</v>
      </c>
    </row>
    <row r="157" spans="2:5" x14ac:dyDescent="0.25">
      <c r="C157">
        <v>667</v>
      </c>
      <c r="D157" t="s">
        <v>484</v>
      </c>
      <c r="E157" s="4">
        <f>HLOOKUP($D$4,'6.1 Investissements'!$E$3:$BE$185,152,0)</f>
        <v>0</v>
      </c>
    </row>
    <row r="158" spans="2:5" x14ac:dyDescent="0.25">
      <c r="C158">
        <v>668</v>
      </c>
      <c r="D158" t="s">
        <v>485</v>
      </c>
      <c r="E158" s="4">
        <f>HLOOKUP($D$4,'6.1 Investissements'!$E$3:$BE$185,153,0)</f>
        <v>0</v>
      </c>
    </row>
    <row r="160" spans="2:5" x14ac:dyDescent="0.25">
      <c r="B160" s="105">
        <v>67</v>
      </c>
      <c r="C160" s="105"/>
      <c r="D160" s="105" t="s">
        <v>487</v>
      </c>
      <c r="E160" s="103">
        <f>SUM(E161:E169)</f>
        <v>0</v>
      </c>
    </row>
    <row r="161" spans="2:5" x14ac:dyDescent="0.25">
      <c r="C161">
        <v>670</v>
      </c>
      <c r="D161" t="s">
        <v>477</v>
      </c>
      <c r="E161" s="4">
        <f>HLOOKUP($D$4,'6.1 Investissements'!$E$3:$BE$185,156,0)</f>
        <v>0</v>
      </c>
    </row>
    <row r="162" spans="2:5" x14ac:dyDescent="0.25">
      <c r="C162">
        <v>671</v>
      </c>
      <c r="D162" t="s">
        <v>478</v>
      </c>
      <c r="E162" s="4">
        <f>HLOOKUP($D$4,'6.1 Investissements'!$E$3:$BE$185,157,0)</f>
        <v>0</v>
      </c>
    </row>
    <row r="163" spans="2:5" x14ac:dyDescent="0.25">
      <c r="C163">
        <v>672</v>
      </c>
      <c r="D163" t="s">
        <v>479</v>
      </c>
      <c r="E163" s="4">
        <f>HLOOKUP($D$4,'6.1 Investissements'!$E$3:$BE$185,158,0)</f>
        <v>0</v>
      </c>
    </row>
    <row r="164" spans="2:5" x14ac:dyDescent="0.25">
      <c r="C164">
        <v>673</v>
      </c>
      <c r="D164" t="s">
        <v>480</v>
      </c>
      <c r="E164" s="4">
        <f>HLOOKUP($D$4,'6.1 Investissements'!$E$3:$BE$185,159,0)</f>
        <v>0</v>
      </c>
    </row>
    <row r="165" spans="2:5" x14ac:dyDescent="0.25">
      <c r="C165">
        <v>674</v>
      </c>
      <c r="D165" t="s">
        <v>481</v>
      </c>
      <c r="E165" s="4">
        <f>HLOOKUP($D$4,'6.1 Investissements'!$E$3:$BE$185,160,0)</f>
        <v>0</v>
      </c>
    </row>
    <row r="166" spans="2:5" x14ac:dyDescent="0.25">
      <c r="C166">
        <v>675</v>
      </c>
      <c r="D166" t="s">
        <v>482</v>
      </c>
      <c r="E166" s="4">
        <f>HLOOKUP($D$4,'6.1 Investissements'!$E$3:$BE$185,161,0)</f>
        <v>0</v>
      </c>
    </row>
    <row r="167" spans="2:5" x14ac:dyDescent="0.25">
      <c r="C167">
        <v>676</v>
      </c>
      <c r="D167" t="s">
        <v>483</v>
      </c>
      <c r="E167" s="4">
        <f>HLOOKUP($D$4,'6.1 Investissements'!$E$3:$BE$185,162,0)</f>
        <v>0</v>
      </c>
    </row>
    <row r="168" spans="2:5" x14ac:dyDescent="0.25">
      <c r="C168">
        <v>677</v>
      </c>
      <c r="D168" t="s">
        <v>484</v>
      </c>
      <c r="E168" s="4">
        <f>HLOOKUP($D$4,'6.1 Investissements'!$E$3:$BE$185,163,0)</f>
        <v>0</v>
      </c>
    </row>
    <row r="169" spans="2:5" x14ac:dyDescent="0.25">
      <c r="C169">
        <v>678</v>
      </c>
      <c r="D169" t="s">
        <v>485</v>
      </c>
      <c r="E169" s="4">
        <f>HLOOKUP($D$4,'6.1 Investissements'!$E$3:$BE$185,164,0)</f>
        <v>0</v>
      </c>
    </row>
    <row r="171" spans="2:5" x14ac:dyDescent="0.25">
      <c r="B171" s="105">
        <v>68</v>
      </c>
      <c r="C171" s="105"/>
      <c r="D171" s="105" t="s">
        <v>500</v>
      </c>
      <c r="E171" s="188">
        <f>SUM(E172:E178)</f>
        <v>0</v>
      </c>
    </row>
    <row r="172" spans="2:5" x14ac:dyDescent="0.25">
      <c r="C172">
        <v>680</v>
      </c>
      <c r="D172" t="s">
        <v>465</v>
      </c>
      <c r="E172" s="4">
        <f>HLOOKUP($D$4,'6.1 Investissements'!$E$3:$BE$185,167,0)</f>
        <v>0</v>
      </c>
    </row>
    <row r="173" spans="2:5" x14ac:dyDescent="0.25">
      <c r="C173">
        <v>682</v>
      </c>
      <c r="D173" t="s">
        <v>475</v>
      </c>
      <c r="E173" s="4">
        <f>HLOOKUP($D$4,'6.1 Investissements'!$E$3:$BE$185,168,0)</f>
        <v>0</v>
      </c>
    </row>
    <row r="174" spans="2:5" x14ac:dyDescent="0.25">
      <c r="C174">
        <v>683</v>
      </c>
      <c r="D174" t="s">
        <v>501</v>
      </c>
      <c r="E174" s="4">
        <f>HLOOKUP($D$4,'6.1 Investissements'!$E$3:$BE$185,169,0)</f>
        <v>0</v>
      </c>
    </row>
    <row r="175" spans="2:5" x14ac:dyDescent="0.25">
      <c r="C175">
        <v>684</v>
      </c>
      <c r="D175" t="s">
        <v>257</v>
      </c>
      <c r="E175" s="4">
        <f>HLOOKUP($D$4,'6.1 Investissements'!$E$3:$BE$185,170,0)</f>
        <v>0</v>
      </c>
    </row>
    <row r="176" spans="2:5" x14ac:dyDescent="0.25">
      <c r="C176">
        <v>685</v>
      </c>
      <c r="D176" t="s">
        <v>388</v>
      </c>
      <c r="E176" s="4">
        <f>HLOOKUP($D$4,'6.1 Investissements'!$E$3:$BE$185,171,0)</f>
        <v>0</v>
      </c>
    </row>
    <row r="177" spans="2:5" x14ac:dyDescent="0.25">
      <c r="C177">
        <v>686</v>
      </c>
      <c r="D177" t="s">
        <v>502</v>
      </c>
      <c r="E177" s="4">
        <f>HLOOKUP($D$4,'6.1 Investissements'!$E$3:$BE$185,172,0)</f>
        <v>0</v>
      </c>
    </row>
    <row r="178" spans="2:5" x14ac:dyDescent="0.25">
      <c r="C178">
        <v>689</v>
      </c>
      <c r="D178" t="s">
        <v>503</v>
      </c>
      <c r="E178" s="4">
        <f>HLOOKUP($D$4,'6.1 Investissements'!$E$3:$BE$185,173,0)</f>
        <v>0</v>
      </c>
    </row>
    <row r="180" spans="2:5" x14ac:dyDescent="0.25">
      <c r="B180" s="105">
        <v>69</v>
      </c>
      <c r="C180" s="105"/>
      <c r="D180" s="105" t="s">
        <v>504</v>
      </c>
      <c r="E180" s="103">
        <f>SUM(E181)</f>
        <v>6219.65</v>
      </c>
    </row>
    <row r="181" spans="2:5" x14ac:dyDescent="0.25">
      <c r="C181">
        <v>690</v>
      </c>
      <c r="D181" t="s">
        <v>504</v>
      </c>
      <c r="E181" s="4">
        <f>HLOOKUP($D$4,'6.1 Investissements'!$E$3:$BE$185,176,0)</f>
        <v>6219.65</v>
      </c>
    </row>
    <row r="185" spans="2:5" ht="18.75" x14ac:dyDescent="0.3">
      <c r="D185" s="189" t="s">
        <v>225</v>
      </c>
      <c r="E185" s="190">
        <f>HLOOKUP($D$4,'6.1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'6.1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1" t="s">
        <v>505</v>
      </c>
      <c r="B8" s="191"/>
      <c r="C8" s="191"/>
      <c r="D8" s="191"/>
      <c r="E8" s="191"/>
      <c r="F8" s="191"/>
      <c r="G8" s="191"/>
      <c r="H8" s="191"/>
    </row>
    <row r="10" spans="1:8" x14ac:dyDescent="0.25">
      <c r="A10" s="185"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2"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3"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BA4" activePane="bottomRight" state="frozen"/>
      <selection pane="topRight" activeCell="E1" sqref="E1"/>
      <selection pane="bottomLeft" activeCell="A4" sqref="A4"/>
      <selection pane="bottomRight" activeCell="BC15" sqref="BC1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5">
        <v>20</v>
      </c>
      <c r="D8" s="135"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4">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5">
        <v>30</v>
      </c>
      <c r="D17" s="135"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197032</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197032</v>
      </c>
      <c r="BG33" s="4">
        <f t="shared" si="5"/>
        <v>197032</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6">
        <v>4</v>
      </c>
      <c r="B36" s="136"/>
      <c r="C36" s="136"/>
      <c r="D36" s="136" t="s">
        <v>589</v>
      </c>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8">
        <v>5</v>
      </c>
      <c r="B57" s="138"/>
      <c r="C57" s="138"/>
      <c r="D57" s="138" t="s">
        <v>302</v>
      </c>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40">
        <v>6</v>
      </c>
      <c r="B60" s="140"/>
      <c r="C60" s="140"/>
      <c r="D60" s="140" t="s">
        <v>303</v>
      </c>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AH39" activePane="bottomRight" state="frozen"/>
      <selection pane="topRight" activeCell="E1" sqref="E1"/>
      <selection pane="bottomLeft" activeCell="A12" sqref="A12"/>
      <selection pane="bottomRight" activeCell="AH48" sqref="AH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4">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134">
        <f>'Base de données indicateurs1'!BF33-'Base de données indicateurs1'!BF33+'Base de données indicateurs1'!BF54-'Base de données indicateurs1'!BF55</f>
        <v>2549034.7099999995</v>
      </c>
      <c r="E30" s="146">
        <f>'Base de données indicateurs1'!E33-'Base de données indicateurs1'!E33+'Base de données indicateurs1'!E54-'Base de données indicateurs1'!E55</f>
        <v>6015.15</v>
      </c>
      <c r="F30" s="146">
        <f>'Base de données indicateurs1'!F33-'Base de données indicateurs1'!F33+'Base de données indicateurs1'!F54-'Base de données indicateurs1'!F55</f>
        <v>149441.67000000001</v>
      </c>
      <c r="G30" s="146">
        <f>'Base de données indicateurs1'!G33-'Base de données indicateurs1'!G33+'Base de données indicateurs1'!G54-'Base de données indicateurs1'!G55</f>
        <v>-35747.06</v>
      </c>
      <c r="H30" s="146">
        <f>'Base de données indicateurs1'!H33-'Base de données indicateurs1'!H33+'Base de données indicateurs1'!H54-'Base de données indicateurs1'!H55</f>
        <v>21653.66</v>
      </c>
      <c r="I30" s="146">
        <f>'Base de données indicateurs1'!I33-'Base de données indicateurs1'!I33+'Base de données indicateurs1'!I54-'Base de données indicateurs1'!I55</f>
        <v>-197032.69</v>
      </c>
      <c r="J30" s="146">
        <f>'Base de données indicateurs1'!J33-'Base de données indicateurs1'!J33+'Base de données indicateurs1'!J54-'Base de données indicateurs1'!J55</f>
        <v>643336.21</v>
      </c>
      <c r="K30" s="146">
        <f>'Base de données indicateurs1'!K33-'Base de données indicateurs1'!K33+'Base de données indicateurs1'!K54-'Base de données indicateurs1'!K55</f>
        <v>33519.97</v>
      </c>
      <c r="L30" s="146">
        <f>'Base de données indicateurs1'!L33-'Base de données indicateurs1'!L33+'Base de données indicateurs1'!L54-'Base de données indicateurs1'!L55</f>
        <v>-574635</v>
      </c>
      <c r="M30" s="146">
        <f>'Base de données indicateurs1'!M33-'Base de données indicateurs1'!M33+'Base de données indicateurs1'!M54-'Base de données indicateurs1'!M55</f>
        <v>-144001.48000000001</v>
      </c>
      <c r="N30" s="146">
        <f>'Base de données indicateurs1'!N33-'Base de données indicateurs1'!N33+'Base de données indicateurs1'!N54-'Base de données indicateurs1'!N55</f>
        <v>0</v>
      </c>
      <c r="O30" s="146">
        <f>'Base de données indicateurs1'!O33-'Base de données indicateurs1'!O33+'Base de données indicateurs1'!O54-'Base de données indicateurs1'!O55</f>
        <v>-1449255.52</v>
      </c>
      <c r="P30" s="146">
        <f>'Base de données indicateurs1'!P33-'Base de données indicateurs1'!P33+'Base de données indicateurs1'!P54-'Base de données indicateurs1'!P55</f>
        <v>-93731.8</v>
      </c>
      <c r="Q30" s="146">
        <f>'Base de données indicateurs1'!Q33-'Base de données indicateurs1'!Q33+'Base de données indicateurs1'!Q54-'Base de données indicateurs1'!Q55</f>
        <v>-28876.52</v>
      </c>
      <c r="R30" s="146">
        <f>'Base de données indicateurs1'!R33-'Base de données indicateurs1'!R33+'Base de données indicateurs1'!R54-'Base de données indicateurs1'!R55</f>
        <v>-16853.580000000002</v>
      </c>
      <c r="S30" s="146">
        <f>'Base de données indicateurs1'!S33-'Base de données indicateurs1'!S33+'Base de données indicateurs1'!S54-'Base de données indicateurs1'!S55</f>
        <v>-13071.37</v>
      </c>
      <c r="T30" s="146">
        <f>'Base de données indicateurs1'!T33-'Base de données indicateurs1'!T33+'Base de données indicateurs1'!T54-'Base de données indicateurs1'!T55</f>
        <v>81234.89</v>
      </c>
      <c r="U30" s="146">
        <f>'Base de données indicateurs1'!U33-'Base de données indicateurs1'!U33+'Base de données indicateurs1'!U54-'Base de données indicateurs1'!U55</f>
        <v>-1983</v>
      </c>
      <c r="V30" s="146">
        <f>'Base de données indicateurs1'!V33-'Base de données indicateurs1'!V33+'Base de données indicateurs1'!V54-'Base de données indicateurs1'!V55</f>
        <v>-152377.16</v>
      </c>
      <c r="W30" s="146">
        <f>'Base de données indicateurs1'!W33-'Base de données indicateurs1'!W33+'Base de données indicateurs1'!W54-'Base de données indicateurs1'!W55</f>
        <v>8997.4500000000007</v>
      </c>
      <c r="X30" s="146">
        <f>'Base de données indicateurs1'!X33-'Base de données indicateurs1'!X33+'Base de données indicateurs1'!X54-'Base de données indicateurs1'!X55</f>
        <v>26286</v>
      </c>
      <c r="Y30" s="146">
        <f>'Base de données indicateurs1'!Y33-'Base de données indicateurs1'!Y33+'Base de données indicateurs1'!Y54-'Base de données indicateurs1'!Y55</f>
        <v>94732.18</v>
      </c>
      <c r="Z30" s="146">
        <f>'Base de données indicateurs1'!Z33-'Base de données indicateurs1'!Z33+'Base de données indicateurs1'!Z54-'Base de données indicateurs1'!Z55</f>
        <v>3333844.9</v>
      </c>
      <c r="AA30" s="146">
        <f>'Base de données indicateurs1'!AA33-'Base de données indicateurs1'!AA33+'Base de données indicateurs1'!AA54-'Base de données indicateurs1'!AA55</f>
        <v>-2729.75</v>
      </c>
      <c r="AB30" s="146">
        <f>'Base de données indicateurs1'!AB33-'Base de données indicateurs1'!AB33+'Base de données indicateurs1'!AB54-'Base de données indicateurs1'!AB55</f>
        <v>-8071.54</v>
      </c>
      <c r="AC30" s="146">
        <f>'Base de données indicateurs1'!AC33-'Base de données indicateurs1'!AC33+'Base de données indicateurs1'!AC54-'Base de données indicateurs1'!AC55</f>
        <v>-115009</v>
      </c>
      <c r="AD30" s="146">
        <f>'Base de données indicateurs1'!AD33-'Base de données indicateurs1'!AD33+'Base de données indicateurs1'!AD54-'Base de données indicateurs1'!AD55</f>
        <v>-169604.71</v>
      </c>
      <c r="AE30" s="146">
        <f>'Base de données indicateurs1'!AE33-'Base de données indicateurs1'!AE33+'Base de données indicateurs1'!AE54-'Base de données indicateurs1'!AE55</f>
        <v>-167058.57</v>
      </c>
      <c r="AF30" s="146">
        <f>'Base de données indicateurs1'!AF33-'Base de données indicateurs1'!AF33+'Base de données indicateurs1'!AF54-'Base de données indicateurs1'!AF55</f>
        <v>27072.7</v>
      </c>
      <c r="AG30" s="146">
        <f>'Base de données indicateurs1'!AG33-'Base de données indicateurs1'!AG33+'Base de données indicateurs1'!AG54-'Base de données indicateurs1'!AG55</f>
        <v>902636.72</v>
      </c>
      <c r="AH30" s="146">
        <f>'Base de données indicateurs1'!AH33-'Base de données indicateurs1'!AH33+'Base de données indicateurs1'!AH54-'Base de données indicateurs1'!AH55</f>
        <v>21605</v>
      </c>
      <c r="AI30" s="146">
        <f>'Base de données indicateurs1'!AI33-'Base de données indicateurs1'!AI33+'Base de données indicateurs1'!AI54-'Base de données indicateurs1'!AI55</f>
        <v>2281</v>
      </c>
      <c r="AJ30" s="146">
        <f>'Base de données indicateurs1'!AJ33-'Base de données indicateurs1'!AJ33+'Base de données indicateurs1'!AJ54-'Base de données indicateurs1'!AJ55</f>
        <v>-28280.9</v>
      </c>
      <c r="AK30" s="146">
        <f>'Base de données indicateurs1'!AK33-'Base de données indicateurs1'!AK33+'Base de données indicateurs1'!AK54-'Base de données indicateurs1'!AK55</f>
        <v>92720</v>
      </c>
      <c r="AL30" s="146">
        <f>'Base de données indicateurs1'!AL33-'Base de données indicateurs1'!AL33+'Base de données indicateurs1'!AL54-'Base de données indicateurs1'!AL55</f>
        <v>-32824</v>
      </c>
      <c r="AM30" s="146">
        <f>'Base de données indicateurs1'!AM33-'Base de données indicateurs1'!AM33+'Base de données indicateurs1'!AM54-'Base de données indicateurs1'!AM55</f>
        <v>-97730</v>
      </c>
      <c r="AN30" s="146">
        <f>'Base de données indicateurs1'!AN33-'Base de données indicateurs1'!AN33+'Base de données indicateurs1'!AN54-'Base de données indicateurs1'!AN55</f>
        <v>14511.05</v>
      </c>
      <c r="AO30" s="146">
        <f>'Base de données indicateurs1'!AO33-'Base de données indicateurs1'!AO33+'Base de données indicateurs1'!AO54-'Base de données indicateurs1'!AO55</f>
        <v>313035.14</v>
      </c>
      <c r="AP30" s="146">
        <f>'Base de données indicateurs1'!AP33-'Base de données indicateurs1'!AP33+'Base de données indicateurs1'!AP54-'Base de données indicateurs1'!AP55</f>
        <v>197653.74</v>
      </c>
      <c r="AQ30" s="146">
        <f>'Base de données indicateurs1'!AQ33-'Base de données indicateurs1'!AQ33+'Base de données indicateurs1'!AQ54-'Base de données indicateurs1'!AQ55</f>
        <v>39059</v>
      </c>
      <c r="AR30" s="146">
        <f>'Base de données indicateurs1'!AR33-'Base de données indicateurs1'!AR33+'Base de données indicateurs1'!AR54-'Base de données indicateurs1'!AR55</f>
        <v>50671.79</v>
      </c>
      <c r="AS30" s="146">
        <f>'Base de données indicateurs1'!AS33-'Base de données indicateurs1'!AS33+'Base de données indicateurs1'!AS54-'Base de données indicateurs1'!AS55</f>
        <v>8666</v>
      </c>
      <c r="AT30" s="146">
        <f>'Base de données indicateurs1'!AT33-'Base de données indicateurs1'!AT33+'Base de données indicateurs1'!AT54-'Base de données indicateurs1'!AT55</f>
        <v>-30052.95</v>
      </c>
      <c r="AU30" s="146">
        <f>'Base de données indicateurs1'!AU33-'Base de données indicateurs1'!AU33+'Base de données indicateurs1'!AU54-'Base de données indicateurs1'!AU55</f>
        <v>81088.7</v>
      </c>
      <c r="AV30" s="146">
        <f>'Base de données indicateurs1'!AV33-'Base de données indicateurs1'!AV33+'Base de données indicateurs1'!AV54-'Base de données indicateurs1'!AV55</f>
        <v>-430556.03</v>
      </c>
      <c r="AW30" s="146">
        <f>'Base de données indicateurs1'!AW33-'Base de données indicateurs1'!AW33+'Base de données indicateurs1'!AW54-'Base de données indicateurs1'!AW55</f>
        <v>-41819.89</v>
      </c>
      <c r="AX30" s="146">
        <f>'Base de données indicateurs1'!AX33-'Base de données indicateurs1'!AX33+'Base de données indicateurs1'!AX54-'Base de données indicateurs1'!AX55</f>
        <v>10076.969999999999</v>
      </c>
      <c r="AY30" s="146">
        <f>'Base de données indicateurs1'!AY33-'Base de données indicateurs1'!AY33+'Base de données indicateurs1'!AY54-'Base de données indicateurs1'!AY55</f>
        <v>26132.85</v>
      </c>
      <c r="AZ30" s="146">
        <f>'Base de données indicateurs1'!AZ33-'Base de données indicateurs1'!AZ33+'Base de données indicateurs1'!AZ54-'Base de données indicateurs1'!AZ55</f>
        <v>79042.83</v>
      </c>
      <c r="BA30" s="146">
        <f>'Base de données indicateurs1'!BA33-'Base de données indicateurs1'!BA33+'Base de données indicateurs1'!BA54-'Base de données indicateurs1'!BA55</f>
        <v>24133.4</v>
      </c>
      <c r="BB30" s="146">
        <f>'Base de données indicateurs1'!BB33-'Base de données indicateurs1'!BB33+'Base de données indicateurs1'!BB54-'Base de données indicateurs1'!BB55</f>
        <v>-104585.94</v>
      </c>
      <c r="BC30" s="146">
        <f>'Base de données indicateurs1'!BC33-'Base de données indicateurs1'!BC33+'Base de données indicateurs1'!BC54-'Base de données indicateurs1'!BC55</f>
        <v>-2276.58</v>
      </c>
      <c r="BD30" s="146">
        <f>'Base de données indicateurs1'!BD33-'Base de données indicateurs1'!BD33+'Base de données indicateurs1'!BD54-'Base de données indicateurs1'!BD55</f>
        <v>189954.45</v>
      </c>
      <c r="BE30" s="146">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5">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4">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7"/>
    </row>
    <row r="8" spans="1:60" ht="18.75" x14ac:dyDescent="0.3">
      <c r="A8" s="191" t="s">
        <v>505</v>
      </c>
      <c r="B8" s="191"/>
      <c r="C8" s="191"/>
      <c r="D8" s="191"/>
    </row>
    <row r="10" spans="1:60" x14ac:dyDescent="0.25">
      <c r="A10" s="7" t="s">
        <v>529</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53">
        <f>'4.1 Comptes 2020 natures'!BG2</f>
        <v>38954</v>
      </c>
      <c r="BG10" s="153">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5">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5">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5">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2"/>
      <c r="BF37" s="4"/>
      <c r="BG37" s="4"/>
      <c r="BH37" s="4"/>
    </row>
    <row r="38" spans="1:60" ht="15.75" thickBot="1" x14ac:dyDescent="0.3">
      <c r="A38" s="7" t="s">
        <v>532</v>
      </c>
      <c r="B38" s="125"/>
      <c r="C38" s="7"/>
      <c r="D38" s="120">
        <f>D23</f>
        <v>211051448.30999997</v>
      </c>
      <c r="E38" s="145">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2"/>
      <c r="BF39" s="4"/>
      <c r="BG39" s="4"/>
      <c r="BH39" s="4"/>
    </row>
    <row r="40" spans="1:60" ht="15.75" thickBot="1" x14ac:dyDescent="0.3">
      <c r="A40" s="7" t="s">
        <v>537</v>
      </c>
      <c r="B40" s="125"/>
      <c r="C40" s="7"/>
      <c r="D40" s="120">
        <f>IF(D38&lt;&gt;0,D36/D38,"")*100</f>
        <v>255.25284918619286</v>
      </c>
      <c r="E40" s="145">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5">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5">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5">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2">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5">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553</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3">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5">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5">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5">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5">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5">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5">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1" t="s">
        <v>577</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7">
        <f>'4.1 Comptes 2020 natures'!E2</f>
        <v>923</v>
      </c>
      <c r="F11" s="147">
        <f>'4.1 Comptes 2020 natures'!F2</f>
        <v>270</v>
      </c>
      <c r="G11" s="147">
        <f>'4.1 Comptes 2020 natures'!G2</f>
        <v>485</v>
      </c>
      <c r="H11" s="147">
        <f>'4.1 Comptes 2020 natures'!H2</f>
        <v>446</v>
      </c>
      <c r="I11" s="147">
        <f>'4.1 Comptes 2020 natures'!I2</f>
        <v>3631</v>
      </c>
      <c r="J11" s="147">
        <f>'4.1 Comptes 2020 natures'!J2</f>
        <v>3313</v>
      </c>
      <c r="K11" s="147">
        <f>'4.1 Comptes 2020 natures'!K2</f>
        <v>2644</v>
      </c>
      <c r="L11" s="148">
        <f>'4.1 Comptes 2020 natures'!L2</f>
        <v>12618</v>
      </c>
      <c r="M11" s="148">
        <f>'4.1 Comptes 2020 natures'!M2</f>
        <v>1371</v>
      </c>
      <c r="N11" s="148">
        <f>'4.1 Comptes 2020 natures'!N2</f>
        <v>118</v>
      </c>
      <c r="O11" s="148">
        <f>'4.1 Comptes 2020 natures'!O2</f>
        <v>7167</v>
      </c>
      <c r="P11" s="148">
        <f>'4.1 Comptes 2020 natures'!P2</f>
        <v>528</v>
      </c>
      <c r="Q11" s="148">
        <f>'4.1 Comptes 2020 natures'!Q2</f>
        <v>108</v>
      </c>
      <c r="R11" s="148">
        <f>'4.1 Comptes 2020 natures'!R2</f>
        <v>415</v>
      </c>
      <c r="S11" s="148">
        <f>'4.1 Comptes 2020 natures'!S2</f>
        <v>349</v>
      </c>
      <c r="T11" s="148">
        <f>'4.1 Comptes 2020 natures'!T2</f>
        <v>687</v>
      </c>
      <c r="U11" s="148">
        <f>'4.1 Comptes 2020 natures'!U2</f>
        <v>255</v>
      </c>
      <c r="V11" s="148">
        <f>'4.1 Comptes 2020 natures'!V2</f>
        <v>436</v>
      </c>
      <c r="W11" s="148">
        <f>'4.1 Comptes 2020 natures'!W2</f>
        <v>3190</v>
      </c>
      <c r="X11" s="149">
        <f>'4.1 Comptes 2020 natures'!X2</f>
        <v>324</v>
      </c>
      <c r="Y11" s="149">
        <f>'4.1 Comptes 2020 natures'!Y2</f>
        <v>1246</v>
      </c>
      <c r="Z11" s="149">
        <f>'4.1 Comptes 2020 natures'!Z2</f>
        <v>1528</v>
      </c>
      <c r="AA11" s="149">
        <f>'4.1 Comptes 2020 natures'!AA2</f>
        <v>96</v>
      </c>
      <c r="AB11" s="149">
        <f>'4.1 Comptes 2020 natures'!AB2</f>
        <v>149</v>
      </c>
      <c r="AC11" s="149">
        <f>'4.1 Comptes 2020 natures'!AC2</f>
        <v>516</v>
      </c>
      <c r="AD11" s="149">
        <f>'4.1 Comptes 2020 natures'!AD2</f>
        <v>671</v>
      </c>
      <c r="AE11" s="149">
        <f>'4.1 Comptes 2020 natures'!AE2</f>
        <v>572</v>
      </c>
      <c r="AF11" s="149">
        <f>'4.1 Comptes 2020 natures'!AF2</f>
        <v>490</v>
      </c>
      <c r="AG11" s="149">
        <f>'4.1 Comptes 2020 natures'!AG2</f>
        <v>1914</v>
      </c>
      <c r="AH11" s="149">
        <f>'4.1 Comptes 2020 natures'!AH2</f>
        <v>2615</v>
      </c>
      <c r="AI11" s="149">
        <f>'4.1 Comptes 2020 natures'!AI2</f>
        <v>227</v>
      </c>
      <c r="AJ11" s="149">
        <f>'4.1 Comptes 2020 natures'!AJ2</f>
        <v>131</v>
      </c>
      <c r="AK11" s="150">
        <f>'4.1 Comptes 2020 natures'!AK2</f>
        <v>1895</v>
      </c>
      <c r="AL11" s="150">
        <f>'4.1 Comptes 2020 natures'!AL2</f>
        <v>1135</v>
      </c>
      <c r="AM11" s="150">
        <f>'4.1 Comptes 2020 natures'!AM2</f>
        <v>1241</v>
      </c>
      <c r="AN11" s="150">
        <f>'4.1 Comptes 2020 natures'!AN2</f>
        <v>119</v>
      </c>
      <c r="AO11" s="150">
        <f>'4.1 Comptes 2020 natures'!AO2</f>
        <v>1195</v>
      </c>
      <c r="AP11" s="150">
        <f>'4.1 Comptes 2020 natures'!AP2</f>
        <v>663</v>
      </c>
      <c r="AQ11" s="150">
        <f>'4.1 Comptes 2020 natures'!AQ2</f>
        <v>645</v>
      </c>
      <c r="AR11" s="150">
        <f>'4.1 Comptes 2020 natures'!AR2</f>
        <v>1263</v>
      </c>
      <c r="AS11" s="150">
        <f>'4.1 Comptes 2020 natures'!AS2</f>
        <v>740</v>
      </c>
      <c r="AT11" s="150">
        <f>'4.1 Comptes 2020 natures'!AT2</f>
        <v>1028</v>
      </c>
      <c r="AU11" s="150">
        <f>'4.1 Comptes 2020 natures'!AU2</f>
        <v>314</v>
      </c>
      <c r="AV11" s="150">
        <f>'4.1 Comptes 2020 natures'!AV2</f>
        <v>2400</v>
      </c>
      <c r="AW11" s="150">
        <f>'4.1 Comptes 2020 natures'!AW2</f>
        <v>755</v>
      </c>
      <c r="AX11" s="150">
        <f>'4.1 Comptes 2020 natures'!AX2</f>
        <v>181</v>
      </c>
      <c r="AY11" s="150">
        <f>'4.1 Comptes 2020 natures'!AY2</f>
        <v>347</v>
      </c>
      <c r="AZ11" s="150">
        <f>'4.1 Comptes 2020 natures'!AZ2</f>
        <v>1690</v>
      </c>
      <c r="BA11" s="150">
        <f>'4.1 Comptes 2020 natures'!BA2</f>
        <v>387</v>
      </c>
      <c r="BB11" s="150">
        <f>'4.1 Comptes 2020 natures'!BB2</f>
        <v>1096</v>
      </c>
      <c r="BC11" s="151">
        <f>'4.1 Comptes 2020 natures'!BC2</f>
        <v>188</v>
      </c>
      <c r="BD11" s="151">
        <f>'4.1 Comptes 2020 natures'!BD2</f>
        <v>6434</v>
      </c>
      <c r="BE11" s="150">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6"/>
      <c r="B9" s="156"/>
      <c r="C9" s="156"/>
      <c r="D9" s="156"/>
      <c r="E9" s="156"/>
      <c r="F9" s="156"/>
      <c r="G9" s="156"/>
      <c r="H9" s="156"/>
    </row>
    <row r="10" spans="1:8" ht="15.75" thickBot="1" x14ac:dyDescent="0.3">
      <c r="B10" s="227" t="s">
        <v>597</v>
      </c>
      <c r="C10" s="227"/>
      <c r="D10" s="227"/>
    </row>
    <row r="11" spans="1:8" ht="15.75" thickBot="1" x14ac:dyDescent="0.3">
      <c r="A11" s="157" t="s">
        <v>584</v>
      </c>
      <c r="B11" s="214" t="s">
        <v>16</v>
      </c>
      <c r="C11" s="215"/>
      <c r="D11" s="216"/>
      <c r="F11" s="110"/>
    </row>
    <row r="12" spans="1:8" ht="15.75" thickBot="1" x14ac:dyDescent="0.3">
      <c r="E12" s="7"/>
      <c r="H12" s="117"/>
    </row>
    <row r="13" spans="1:8" ht="15.75" thickBot="1" x14ac:dyDescent="0.3">
      <c r="A13" s="224" t="s">
        <v>577</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60"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60"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60" t="s">
        <v>585</v>
      </c>
    </row>
    <row r="51" spans="1:3" x14ac:dyDescent="0.25">
      <c r="A51" s="159" t="s">
        <v>598</v>
      </c>
      <c r="B51" s="198" t="s">
        <v>783</v>
      </c>
      <c r="C51" s="158"/>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3"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4">
        <f t="shared" ref="E160:R160" si="35">E157-E159</f>
        <v>-1.127773430198431E-10</v>
      </c>
      <c r="F160" s="154">
        <f t="shared" si="35"/>
        <v>0</v>
      </c>
      <c r="G160" s="154">
        <f t="shared" si="35"/>
        <v>5.2295945351943374E-12</v>
      </c>
      <c r="H160" s="154">
        <f t="shared" si="35"/>
        <v>0</v>
      </c>
      <c r="I160" s="154">
        <f t="shared" si="35"/>
        <v>-5.8207660913467407E-11</v>
      </c>
      <c r="J160" s="154">
        <f t="shared" si="35"/>
        <v>0</v>
      </c>
      <c r="K160" s="154">
        <f t="shared" si="35"/>
        <v>0</v>
      </c>
      <c r="L160" s="154">
        <f t="shared" si="35"/>
        <v>0</v>
      </c>
      <c r="M160" s="154">
        <f t="shared" si="35"/>
        <v>0</v>
      </c>
      <c r="N160" s="154">
        <f t="shared" si="35"/>
        <v>0</v>
      </c>
      <c r="O160" s="154">
        <f t="shared" si="35"/>
        <v>0</v>
      </c>
      <c r="P160" s="154">
        <f t="shared" si="35"/>
        <v>0</v>
      </c>
      <c r="Q160" s="154">
        <f t="shared" si="35"/>
        <v>0</v>
      </c>
      <c r="R160" s="154">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5" t="s">
        <v>28</v>
      </c>
    </row>
    <row r="7" spans="1:5" x14ac:dyDescent="0.25">
      <c r="E7" s="65" t="s">
        <v>205</v>
      </c>
    </row>
    <row r="8" spans="1:5" ht="21" x14ac:dyDescent="0.35">
      <c r="A8" s="92">
        <v>3</v>
      </c>
      <c r="B8" s="92"/>
      <c r="C8" s="92"/>
      <c r="D8" s="92" t="s">
        <v>60</v>
      </c>
      <c r="E8" s="172">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3">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B4" activePane="bottomRight" state="frozen"/>
      <selection pane="topRight" activeCell="E1" sqref="E1"/>
      <selection pane="bottomLeft" activeCell="A4" sqref="A4"/>
      <selection pane="bottomRight" activeCell="BF138" sqref="BF138"/>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2">
        <f>E154+E155</f>
        <v>338069</v>
      </c>
      <c r="F157" s="182">
        <f t="shared" ref="F157:BI157" si="102">F154+F155</f>
        <v>183367.53000000003</v>
      </c>
      <c r="G157" s="182">
        <f t="shared" si="102"/>
        <v>-29321.279999999999</v>
      </c>
      <c r="H157" s="182">
        <f t="shared" si="102"/>
        <v>21653.66</v>
      </c>
      <c r="I157" s="182">
        <f t="shared" si="102"/>
        <v>461623.62999999995</v>
      </c>
      <c r="J157" s="182">
        <f t="shared" si="102"/>
        <v>1051215.94</v>
      </c>
      <c r="K157" s="182">
        <f t="shared" si="102"/>
        <v>253856.48</v>
      </c>
      <c r="L157" s="182">
        <f t="shared" si="102"/>
        <v>2089673.1800000002</v>
      </c>
      <c r="M157" s="182">
        <f t="shared" si="102"/>
        <v>-1352.8600000000151</v>
      </c>
      <c r="N157" s="182">
        <f t="shared" si="102"/>
        <v>-63918.92</v>
      </c>
      <c r="O157" s="182">
        <f t="shared" si="102"/>
        <v>-1177403.47</v>
      </c>
      <c r="P157" s="182">
        <f t="shared" si="102"/>
        <v>-93731.8</v>
      </c>
      <c r="Q157" s="182">
        <f t="shared" si="102"/>
        <v>-9460.8100000000013</v>
      </c>
      <c r="R157" s="182">
        <f t="shared" si="102"/>
        <v>-16853.579999999998</v>
      </c>
      <c r="S157" s="182">
        <f t="shared" si="102"/>
        <v>-13071.369999999995</v>
      </c>
      <c r="T157" s="182">
        <f t="shared" si="102"/>
        <v>262757.42</v>
      </c>
      <c r="U157" s="182">
        <f t="shared" si="102"/>
        <v>9048.7099999999991</v>
      </c>
      <c r="V157" s="182">
        <f t="shared" si="102"/>
        <v>-152377.16</v>
      </c>
      <c r="W157" s="182">
        <f t="shared" si="102"/>
        <v>364711.41000000003</v>
      </c>
      <c r="X157" s="182">
        <f t="shared" si="102"/>
        <v>26286.14</v>
      </c>
      <c r="Y157" s="182">
        <f t="shared" si="102"/>
        <v>178997.68</v>
      </c>
      <c r="Z157" s="182">
        <f t="shared" si="102"/>
        <v>3517719.9899999998</v>
      </c>
      <c r="AA157" s="182">
        <f t="shared" si="102"/>
        <v>-11170.27</v>
      </c>
      <c r="AB157" s="182">
        <f t="shared" si="102"/>
        <v>41421.78</v>
      </c>
      <c r="AC157" s="182">
        <f t="shared" si="102"/>
        <v>-114596.97</v>
      </c>
      <c r="AD157" s="182">
        <f t="shared" si="102"/>
        <v>-99000.459999999992</v>
      </c>
      <c r="AE157" s="182">
        <f t="shared" si="102"/>
        <v>-194273.68</v>
      </c>
      <c r="AF157" s="182">
        <f t="shared" si="102"/>
        <v>122538.76</v>
      </c>
      <c r="AG157" s="182">
        <f t="shared" si="102"/>
        <v>1107210.3</v>
      </c>
      <c r="AH157" s="182">
        <f t="shared" si="102"/>
        <v>243887.35</v>
      </c>
      <c r="AI157" s="182">
        <f t="shared" si="102"/>
        <v>-5355.96</v>
      </c>
      <c r="AJ157" s="182">
        <f t="shared" si="102"/>
        <v>22586.400000000001</v>
      </c>
      <c r="AK157" s="182">
        <f t="shared" si="102"/>
        <v>153720</v>
      </c>
      <c r="AL157" s="182">
        <f t="shared" si="102"/>
        <v>-32824.589999999997</v>
      </c>
      <c r="AM157" s="182">
        <f t="shared" si="102"/>
        <v>-5589.7700000000041</v>
      </c>
      <c r="AN157" s="182">
        <f t="shared" si="102"/>
        <v>13711.05</v>
      </c>
      <c r="AO157" s="182">
        <f t="shared" si="102"/>
        <v>341994.52</v>
      </c>
      <c r="AP157" s="182">
        <f t="shared" si="102"/>
        <v>197653.74000000002</v>
      </c>
      <c r="AQ157" s="182">
        <f t="shared" si="102"/>
        <v>23915.769999999997</v>
      </c>
      <c r="AR157" s="182">
        <f t="shared" si="102"/>
        <v>50671.79</v>
      </c>
      <c r="AS157" s="182">
        <f t="shared" si="102"/>
        <v>52551.100000000006</v>
      </c>
      <c r="AT157" s="182">
        <f t="shared" si="102"/>
        <v>35118.03</v>
      </c>
      <c r="AU157" s="182">
        <f t="shared" si="102"/>
        <v>112815.42</v>
      </c>
      <c r="AV157" s="182">
        <f t="shared" si="102"/>
        <v>-268507.58</v>
      </c>
      <c r="AW157" s="182">
        <f t="shared" si="102"/>
        <v>-9064.0300000000025</v>
      </c>
      <c r="AX157" s="182">
        <f t="shared" si="102"/>
        <v>29819.599999999999</v>
      </c>
      <c r="AY157" s="182">
        <f t="shared" si="102"/>
        <v>73689.049999999988</v>
      </c>
      <c r="AZ157" s="182">
        <f t="shared" si="102"/>
        <v>79042.83</v>
      </c>
      <c r="BA157" s="182">
        <f t="shared" si="102"/>
        <v>160878.04999999999</v>
      </c>
      <c r="BB157" s="182">
        <f t="shared" si="102"/>
        <v>192186.95</v>
      </c>
      <c r="BC157" s="182">
        <f t="shared" si="102"/>
        <v>-14911.230000000001</v>
      </c>
      <c r="BD157" s="182">
        <f t="shared" si="102"/>
        <v>1253727.51</v>
      </c>
      <c r="BE157" s="182">
        <f t="shared" si="102"/>
        <v>49199.93</v>
      </c>
      <c r="BF157" s="182">
        <f t="shared" si="102"/>
        <v>10804534.910000002</v>
      </c>
      <c r="BG157" s="182">
        <f t="shared" si="102"/>
        <v>3478485.71</v>
      </c>
      <c r="BH157" s="182">
        <f t="shared" si="102"/>
        <v>4836251.0600000005</v>
      </c>
      <c r="BI157" s="182">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4">
        <f t="shared" ref="E160:AJ160" si="105">E157-E159</f>
        <v>-4.6566128730773926E-10</v>
      </c>
      <c r="F160" s="154">
        <f t="shared" si="105"/>
        <v>-2.3283064365386963E-10</v>
      </c>
      <c r="G160" s="154">
        <f t="shared" si="105"/>
        <v>-2.0372681319713593E-10</v>
      </c>
      <c r="H160" s="154">
        <f t="shared" si="105"/>
        <v>-1.4915713109076023E-10</v>
      </c>
      <c r="I160" s="154">
        <f t="shared" si="105"/>
        <v>-2.7357600629329681E-9</v>
      </c>
      <c r="J160" s="154">
        <f t="shared" si="105"/>
        <v>0</v>
      </c>
      <c r="K160" s="154">
        <f t="shared" si="105"/>
        <v>-4.3655745685100555E-10</v>
      </c>
      <c r="L160" s="154">
        <f t="shared" si="105"/>
        <v>-6.9849193096160889E-9</v>
      </c>
      <c r="M160" s="154">
        <f t="shared" si="105"/>
        <v>-6.1118043959140778E-10</v>
      </c>
      <c r="N160" s="154">
        <f t="shared" si="105"/>
        <v>0</v>
      </c>
      <c r="O160" s="154">
        <f t="shared" si="105"/>
        <v>2.5611370801925659E-9</v>
      </c>
      <c r="P160" s="154">
        <f t="shared" si="105"/>
        <v>0</v>
      </c>
      <c r="Q160" s="154">
        <f t="shared" si="105"/>
        <v>0</v>
      </c>
      <c r="R160" s="154">
        <f t="shared" si="105"/>
        <v>-1.5643308870494366E-10</v>
      </c>
      <c r="S160" s="154">
        <f t="shared" si="105"/>
        <v>1.1641532182693481E-10</v>
      </c>
      <c r="T160" s="154">
        <f t="shared" si="105"/>
        <v>0</v>
      </c>
      <c r="U160" s="154">
        <f t="shared" si="105"/>
        <v>3.637978807091713E-11</v>
      </c>
      <c r="V160" s="154">
        <f t="shared" si="105"/>
        <v>6.1118043959140778E-10</v>
      </c>
      <c r="W160" s="154">
        <f t="shared" si="105"/>
        <v>0</v>
      </c>
      <c r="X160" s="154">
        <f t="shared" si="105"/>
        <v>-3.637978807091713E-10</v>
      </c>
      <c r="Y160" s="154">
        <f t="shared" si="105"/>
        <v>2.9103830456733704E-10</v>
      </c>
      <c r="Z160" s="154">
        <f t="shared" si="105"/>
        <v>0</v>
      </c>
      <c r="AA160" s="154">
        <f t="shared" si="105"/>
        <v>1.8189894035458565E-11</v>
      </c>
      <c r="AB160" s="154">
        <f t="shared" si="105"/>
        <v>0</v>
      </c>
      <c r="AC160" s="154">
        <f t="shared" si="105"/>
        <v>1.1350493878126144E-9</v>
      </c>
      <c r="AD160" s="154">
        <f t="shared" si="105"/>
        <v>1.8335413187742233E-9</v>
      </c>
      <c r="AE160" s="154">
        <f t="shared" si="105"/>
        <v>-2.9103830456733704E-10</v>
      </c>
      <c r="AF160" s="154">
        <f t="shared" si="105"/>
        <v>2.1827872842550278E-10</v>
      </c>
      <c r="AG160" s="154">
        <f t="shared" si="105"/>
        <v>-2.5611370801925659E-9</v>
      </c>
      <c r="AH160" s="154">
        <f t="shared" si="105"/>
        <v>2.2409949451684952E-9</v>
      </c>
      <c r="AI160" s="154">
        <f t="shared" si="105"/>
        <v>-3.7289282772690058E-11</v>
      </c>
      <c r="AJ160" s="154">
        <f t="shared" si="105"/>
        <v>0</v>
      </c>
      <c r="AK160" s="154">
        <f t="shared" ref="AK160:BI160" si="106">AK157-AK159</f>
        <v>-9.3132257461547852E-10</v>
      </c>
      <c r="AL160" s="154">
        <f t="shared" si="106"/>
        <v>1.7171259969472885E-9</v>
      </c>
      <c r="AM160" s="154">
        <f t="shared" si="106"/>
        <v>4.8021320253610611E-10</v>
      </c>
      <c r="AN160" s="154">
        <f t="shared" si="106"/>
        <v>6.9121597334742546E-11</v>
      </c>
      <c r="AO160" s="154">
        <f t="shared" si="106"/>
        <v>-4.6566128730773926E-10</v>
      </c>
      <c r="AP160" s="154">
        <f t="shared" si="106"/>
        <v>-6.6938810050487518E-10</v>
      </c>
      <c r="AQ160" s="154">
        <f t="shared" si="106"/>
        <v>4.4383341446518898E-10</v>
      </c>
      <c r="AR160" s="154">
        <f t="shared" si="106"/>
        <v>-9.6770236268639565E-10</v>
      </c>
      <c r="AS160" s="154">
        <f t="shared" si="106"/>
        <v>-8.7311491370201111E-11</v>
      </c>
      <c r="AT160" s="154">
        <f t="shared" si="106"/>
        <v>-2.6193447411060333E-10</v>
      </c>
      <c r="AU160" s="154">
        <f t="shared" si="106"/>
        <v>0</v>
      </c>
      <c r="AV160" s="154">
        <f t="shared" si="106"/>
        <v>0</v>
      </c>
      <c r="AW160" s="154">
        <f t="shared" si="106"/>
        <v>-2.0736479200422764E-10</v>
      </c>
      <c r="AX160" s="154">
        <f t="shared" si="106"/>
        <v>-9.4587448984384537E-11</v>
      </c>
      <c r="AY160" s="154">
        <f t="shared" si="106"/>
        <v>1.7462298274040222E-10</v>
      </c>
      <c r="AZ160" s="154">
        <f t="shared" si="106"/>
        <v>0</v>
      </c>
      <c r="BA160" s="154">
        <f t="shared" si="106"/>
        <v>0</v>
      </c>
      <c r="BB160" s="154">
        <f t="shared" si="106"/>
        <v>0</v>
      </c>
      <c r="BC160" s="154">
        <f t="shared" si="106"/>
        <v>9.6406438387930393E-11</v>
      </c>
      <c r="BD160" s="154">
        <f t="shared" si="106"/>
        <v>2.0954757928848267E-9</v>
      </c>
      <c r="BE160" s="154">
        <f t="shared" si="106"/>
        <v>-1.673470251262188E-10</v>
      </c>
      <c r="BF160" s="154">
        <f t="shared" si="106"/>
        <v>1.5459954738616943E-7</v>
      </c>
      <c r="BG160" s="154">
        <f t="shared" si="106"/>
        <v>-8.3819031715393066E-9</v>
      </c>
      <c r="BH160" s="154">
        <f t="shared" si="106"/>
        <v>0</v>
      </c>
      <c r="BI160" s="154">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'6.1 Investissements'!E182</f>
        <v>1441429.61</v>
      </c>
      <c r="F177" s="4">
        <f>'6.1 Investissements'!F182</f>
        <v>-213871.9</v>
      </c>
      <c r="G177" s="4">
        <f>'6.1 Investissements'!G182</f>
        <v>1711974.9000000004</v>
      </c>
      <c r="H177" s="4">
        <f>'6.1 Investissements'!H182</f>
        <v>-73816.650000000023</v>
      </c>
      <c r="I177" s="4">
        <f>'6.1 Investissements'!I182</f>
        <v>2181341.7800000003</v>
      </c>
      <c r="J177" s="4">
        <f>'6.1 Investissements'!J182</f>
        <v>1910540.2199999997</v>
      </c>
      <c r="K177" s="4">
        <f>'6.1 Investissements'!K182</f>
        <v>1074389.2400000002</v>
      </c>
      <c r="L177" s="4">
        <f>'6.1 Investissements'!L182</f>
        <v>14843351.189999998</v>
      </c>
      <c r="M177" s="4">
        <f>'6.1 Investissements'!M182</f>
        <v>259678.55</v>
      </c>
      <c r="N177" s="4">
        <f>'6.1 Investissements'!N182</f>
        <v>41267.75</v>
      </c>
      <c r="O177" s="4">
        <f>'6.1 Investissements'!O182</f>
        <v>2584951.25</v>
      </c>
      <c r="P177" s="4">
        <f>'6.1 Investissements'!P182</f>
        <v>31019.23000000001</v>
      </c>
      <c r="Q177" s="4">
        <f>'6.1 Investissements'!Q182</f>
        <v>0</v>
      </c>
      <c r="R177" s="4">
        <f>'6.1 Investissements'!R182</f>
        <v>19797.849999999999</v>
      </c>
      <c r="S177" s="4">
        <f>'6.1 Investissements'!S182</f>
        <v>171236.7</v>
      </c>
      <c r="T177" s="4">
        <f>'6.1 Investissements'!T182</f>
        <v>263158.75</v>
      </c>
      <c r="U177" s="4">
        <f>'6.1 Investissements'!U182</f>
        <v>114020.5</v>
      </c>
      <c r="V177" s="4">
        <f>'6.1 Investissements'!V182</f>
        <v>-95018.589999999967</v>
      </c>
      <c r="W177" s="4">
        <f>'6.1 Investissements'!W182</f>
        <v>340342.60000000033</v>
      </c>
      <c r="X177" s="4">
        <f>'6.1 Investissements'!X182</f>
        <v>67578.350000000006</v>
      </c>
      <c r="Y177" s="4">
        <f>'6.1 Investissements'!Y182</f>
        <v>-1037183.7999999998</v>
      </c>
      <c r="Z177" s="4">
        <f>'6.1 Investissements'!Z182</f>
        <v>503623.38</v>
      </c>
      <c r="AA177" s="4">
        <f>'6.1 Investissements'!AA182</f>
        <v>0</v>
      </c>
      <c r="AB177" s="4">
        <f>'6.1 Investissements'!AB182</f>
        <v>-43584.75</v>
      </c>
      <c r="AC177" s="4">
        <f>'6.1 Investissements'!AC182</f>
        <v>92793.8</v>
      </c>
      <c r="AD177" s="4">
        <f>'6.1 Investissements'!AD182</f>
        <v>563080.98</v>
      </c>
      <c r="AE177" s="4">
        <f>'6.1 Investissements'!AE182</f>
        <v>56302.700000000012</v>
      </c>
      <c r="AF177" s="4">
        <f>'6.1 Investissements'!AF182</f>
        <v>256378.40000000002</v>
      </c>
      <c r="AG177" s="4">
        <f>'6.1 Investissements'!AG182</f>
        <v>402753.39999999997</v>
      </c>
      <c r="AH177" s="4">
        <f>'6.1 Investissements'!AH182</f>
        <v>3937.6500000000233</v>
      </c>
      <c r="AI177" s="4">
        <f>'6.1 Investissements'!AI182</f>
        <v>9496.5499999999993</v>
      </c>
      <c r="AJ177" s="4">
        <f>'6.1 Investissements'!AJ182</f>
        <v>326865</v>
      </c>
      <c r="AK177" s="4">
        <f>'6.1 Investissements'!AK182</f>
        <v>2035877.68</v>
      </c>
      <c r="AL177" s="4">
        <f>'6.1 Investissements'!AL182</f>
        <v>713644.6</v>
      </c>
      <c r="AM177" s="4">
        <f>'6.1 Investissements'!AM182</f>
        <v>332171.75</v>
      </c>
      <c r="AN177" s="4">
        <f>'6.1 Investissements'!AN182</f>
        <v>562754</v>
      </c>
      <c r="AO177" s="4">
        <f>'6.1 Investissements'!AO182</f>
        <v>989111.14999999991</v>
      </c>
      <c r="AP177" s="4">
        <f>'6.1 Investissements'!AP182</f>
        <v>390825.24999999994</v>
      </c>
      <c r="AQ177" s="4">
        <f>'6.1 Investissements'!AQ182</f>
        <v>39386.100000000006</v>
      </c>
      <c r="AR177" s="4">
        <f>'6.1 Investissements'!AR182</f>
        <v>757217.90000000037</v>
      </c>
      <c r="AS177" s="4">
        <f>'6.1 Investissements'!AS182</f>
        <v>-81659.450000000012</v>
      </c>
      <c r="AT177" s="4">
        <f>'6.1 Investissements'!AT182</f>
        <v>183289.8</v>
      </c>
      <c r="AU177" s="4">
        <f>'6.1 Investissements'!AU182</f>
        <v>191917.3</v>
      </c>
      <c r="AV177" s="4">
        <f>'6.1 Investissements'!AV182</f>
        <v>606274.71000000008</v>
      </c>
      <c r="AW177" s="4">
        <f>'6.1 Investissements'!AW182</f>
        <v>53025.600000000006</v>
      </c>
      <c r="AX177" s="4">
        <f>'6.1 Investissements'!AX182</f>
        <v>49000</v>
      </c>
      <c r="AY177" s="4">
        <f>'6.1 Investissements'!AY182</f>
        <v>0</v>
      </c>
      <c r="AZ177" s="4">
        <f>'6.1 Investissements'!AZ182</f>
        <v>281.59999999999854</v>
      </c>
      <c r="BA177" s="4">
        <f>'6.1 Investissements'!BA182</f>
        <v>478773.55000000005</v>
      </c>
      <c r="BB177" s="4">
        <f>'6.1 Investissements'!BB182</f>
        <v>349925.75000000006</v>
      </c>
      <c r="BC177" s="4">
        <f>'6.1 Investissements'!BC182</f>
        <v>0</v>
      </c>
      <c r="BD177" s="4">
        <f>'6.1 Investissements'!BD182</f>
        <v>562904.31999999983</v>
      </c>
      <c r="BE177" s="4">
        <f>'6.1 Investissements'!BE182</f>
        <v>6219.65</v>
      </c>
      <c r="BF177" s="4">
        <f>'6.1 Investissements'!BF182</f>
        <v>36028775.899999999</v>
      </c>
      <c r="BG177" s="4">
        <f>'6.1 Investissements'!BG182</f>
        <v>26605792.979999997</v>
      </c>
      <c r="BH177" s="4">
        <f>'6.1 Investissements'!BH182</f>
        <v>1202041.6600000011</v>
      </c>
      <c r="BI177" s="4">
        <f>'6.1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9">
        <f t="shared" si="111"/>
        <v>5400</v>
      </c>
      <c r="J179" s="61">
        <f t="shared" si="111"/>
        <v>0</v>
      </c>
      <c r="K179" s="199">
        <f t="shared" si="111"/>
        <v>16855.350000000006</v>
      </c>
      <c r="L179" s="61">
        <f t="shared" si="111"/>
        <v>-15853.609999999404</v>
      </c>
      <c r="M179" s="61">
        <f t="shared" si="111"/>
        <v>0</v>
      </c>
      <c r="N179" s="61">
        <f t="shared" si="111"/>
        <v>0</v>
      </c>
      <c r="O179" s="61">
        <f t="shared" si="111"/>
        <v>0</v>
      </c>
      <c r="P179" s="199">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5"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5"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2"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7">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9">
        <v>1975551.27</v>
      </c>
      <c r="Q217" s="4"/>
      <c r="R217" s="4"/>
      <c r="S217" s="80">
        <f>SUM(F217:R217)</f>
        <v>15815520.170000002</v>
      </c>
      <c r="T217">
        <v>215</v>
      </c>
    </row>
    <row r="218" spans="3:20" x14ac:dyDescent="0.25">
      <c r="F218" s="4"/>
      <c r="G218" s="4"/>
      <c r="H218" s="4"/>
      <c r="I218" s="200"/>
      <c r="J218" s="4"/>
      <c r="K218" s="4"/>
      <c r="L218" s="4"/>
      <c r="M218" s="4"/>
      <c r="N218" s="4"/>
      <c r="O218" s="4"/>
      <c r="P218" s="154"/>
      <c r="Q218" s="4"/>
      <c r="R218" s="4"/>
      <c r="S218" s="80"/>
      <c r="T218">
        <v>216</v>
      </c>
    </row>
    <row r="219" spans="3:20" x14ac:dyDescent="0.25">
      <c r="C219" s="161"/>
      <c r="D219" s="161"/>
      <c r="E219" s="161"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4">
        <f>F4-F120</f>
        <v>0</v>
      </c>
      <c r="G225" s="154">
        <f t="shared" ref="G225:S225" si="55">G4-G120</f>
        <v>0</v>
      </c>
      <c r="H225" s="154">
        <f t="shared" si="55"/>
        <v>0</v>
      </c>
      <c r="I225" s="154">
        <f t="shared" si="55"/>
        <v>0</v>
      </c>
      <c r="J225" s="154">
        <f t="shared" si="55"/>
        <v>0</v>
      </c>
      <c r="K225" s="154">
        <f t="shared" si="55"/>
        <v>0</v>
      </c>
      <c r="L225" s="154">
        <f t="shared" si="55"/>
        <v>0</v>
      </c>
      <c r="M225" s="154">
        <f t="shared" si="55"/>
        <v>0</v>
      </c>
      <c r="N225" s="154">
        <f t="shared" si="55"/>
        <v>0</v>
      </c>
      <c r="O225" s="154">
        <f t="shared" si="55"/>
        <v>0</v>
      </c>
      <c r="P225" s="154">
        <f t="shared" si="55"/>
        <v>0</v>
      </c>
      <c r="Q225" s="154">
        <f t="shared" si="55"/>
        <v>0</v>
      </c>
      <c r="R225" s="154">
        <f t="shared" si="55"/>
        <v>0</v>
      </c>
      <c r="S225" s="154">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5" t="s">
        <v>56</v>
      </c>
    </row>
    <row r="7" spans="1:6" ht="21" x14ac:dyDescent="0.35">
      <c r="A7" s="73">
        <v>1</v>
      </c>
      <c r="B7" s="73"/>
      <c r="C7" s="73"/>
      <c r="D7" s="73"/>
      <c r="E7" s="73" t="s">
        <v>246</v>
      </c>
      <c r="F7" s="176">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8">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1"/>
      <c r="D222" s="161"/>
      <c r="E222" s="161"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4" t="s">
        <v>778</v>
      </c>
      <c r="B2" s="7"/>
    </row>
    <row r="3" spans="1:16" ht="15" customHeight="1" x14ac:dyDescent="0.25">
      <c r="A3" s="7"/>
      <c r="B3" s="7"/>
    </row>
    <row r="4" spans="1:16" ht="15" customHeight="1" x14ac:dyDescent="0.4">
      <c r="A4" s="42"/>
      <c r="B4" s="7"/>
    </row>
    <row r="5" spans="1:16" x14ac:dyDescent="0.25">
      <c r="A5" s="185"/>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1">
        <f>C11+C13+C15-C17</f>
        <v>3081680.2</v>
      </c>
      <c r="D20" s="181">
        <f t="shared" ref="D20:O20" si="0">D11+D13+D15-D17</f>
        <v>0</v>
      </c>
      <c r="E20" s="181">
        <f t="shared" si="0"/>
        <v>291425.59999999998</v>
      </c>
      <c r="F20" s="181">
        <f t="shared" si="0"/>
        <v>0</v>
      </c>
      <c r="G20" s="181">
        <f t="shared" si="0"/>
        <v>410794.05</v>
      </c>
      <c r="H20" s="181">
        <f t="shared" si="0"/>
        <v>3427101.65</v>
      </c>
      <c r="I20" s="181">
        <f t="shared" si="0"/>
        <v>0</v>
      </c>
      <c r="J20" s="181">
        <f t="shared" si="0"/>
        <v>0</v>
      </c>
      <c r="K20" s="181">
        <f t="shared" si="0"/>
        <v>0</v>
      </c>
      <c r="L20" s="181">
        <f t="shared" si="0"/>
        <v>0</v>
      </c>
      <c r="M20" s="181">
        <f t="shared" si="0"/>
        <v>0</v>
      </c>
      <c r="N20" s="181">
        <f t="shared" si="0"/>
        <v>0</v>
      </c>
      <c r="O20" s="181">
        <f t="shared" si="0"/>
        <v>0</v>
      </c>
      <c r="P20" s="181">
        <f>SUM(C20:O20)</f>
        <v>7211001.5</v>
      </c>
    </row>
    <row r="21" spans="1:16" x14ac:dyDescent="0.25">
      <c r="A21" s="67"/>
      <c r="B21" s="7"/>
      <c r="C21" s="182"/>
      <c r="D21" s="182"/>
      <c r="E21" s="182"/>
      <c r="F21" s="182"/>
      <c r="G21" s="182"/>
      <c r="H21" s="182"/>
      <c r="I21" s="182"/>
      <c r="J21" s="182"/>
      <c r="K21" s="182"/>
      <c r="L21" s="182"/>
      <c r="M21" s="182"/>
      <c r="N21" s="182"/>
      <c r="O21" s="182"/>
      <c r="P21" s="182"/>
    </row>
    <row r="22" spans="1:16" x14ac:dyDescent="0.25">
      <c r="A22" s="67"/>
      <c r="B22" s="99" t="s">
        <v>509</v>
      </c>
      <c r="C22" s="181">
        <f t="shared" ref="C22:O22" si="1">C9-C7</f>
        <v>-5153658.6999999993</v>
      </c>
      <c r="D22" s="181">
        <f t="shared" si="1"/>
        <v>0</v>
      </c>
      <c r="E22" s="181">
        <f t="shared" si="1"/>
        <v>-100196.82</v>
      </c>
      <c r="F22" s="181">
        <f t="shared" si="1"/>
        <v>-274399.86000000004</v>
      </c>
      <c r="G22" s="181">
        <f t="shared" si="1"/>
        <v>-696064.59</v>
      </c>
      <c r="H22" s="181">
        <f t="shared" si="1"/>
        <v>-27565738.919999998</v>
      </c>
      <c r="I22" s="181">
        <f t="shared" si="1"/>
        <v>0</v>
      </c>
      <c r="J22" s="181">
        <f t="shared" si="1"/>
        <v>0</v>
      </c>
      <c r="K22" s="181">
        <f t="shared" si="1"/>
        <v>0</v>
      </c>
      <c r="L22" s="181">
        <f t="shared" si="1"/>
        <v>0</v>
      </c>
      <c r="M22" s="181">
        <f t="shared" si="1"/>
        <v>-1273171</v>
      </c>
      <c r="N22" s="181">
        <f t="shared" si="1"/>
        <v>0</v>
      </c>
      <c r="O22" s="181">
        <f t="shared" si="1"/>
        <v>0</v>
      </c>
      <c r="P22" s="181">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7" t="s">
        <v>780</v>
      </c>
    </row>
    <row r="4" spans="1:3" ht="15" customHeight="1" thickBot="1" x14ac:dyDescent="0.45">
      <c r="A4" s="42"/>
      <c r="B4" s="180" t="s">
        <v>28</v>
      </c>
    </row>
    <row r="5" spans="1:3" ht="15" customHeight="1" x14ac:dyDescent="0.25">
      <c r="C5" s="65"/>
    </row>
    <row r="6" spans="1:3" ht="15" customHeight="1" x14ac:dyDescent="0.25">
      <c r="C6" s="183"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 workbookViewId="0">
      <selection activeCell="O27" sqref="O27"/>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10"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10"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2"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5" t="s">
        <v>28</v>
      </c>
    </row>
    <row r="7" spans="1:5" ht="21" x14ac:dyDescent="0.35">
      <c r="A7" s="102">
        <v>5</v>
      </c>
      <c r="B7" s="102"/>
      <c r="C7" s="102"/>
      <c r="D7" s="102" t="s">
        <v>193</v>
      </c>
      <c r="E7" s="186">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7">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9" t="s">
        <v>225</v>
      </c>
      <c r="E185" s="190">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3"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4"/>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4">
        <f t="shared" ref="E162:N162" si="111">E157-E161</f>
        <v>0</v>
      </c>
      <c r="F162" s="154">
        <f t="shared" si="111"/>
        <v>0</v>
      </c>
      <c r="G162" s="154">
        <f t="shared" si="111"/>
        <v>0</v>
      </c>
      <c r="H162" s="154">
        <f t="shared" si="111"/>
        <v>0</v>
      </c>
      <c r="I162" s="154">
        <f t="shared" si="111"/>
        <v>0</v>
      </c>
      <c r="J162" s="154">
        <f t="shared" si="111"/>
        <v>0</v>
      </c>
      <c r="K162" s="154">
        <f t="shared" si="111"/>
        <v>0</v>
      </c>
      <c r="L162" s="154">
        <f t="shared" si="111"/>
        <v>0</v>
      </c>
      <c r="M162" s="154">
        <f t="shared" si="111"/>
        <v>0</v>
      </c>
      <c r="N162" s="154">
        <f t="shared" si="111"/>
        <v>0</v>
      </c>
      <c r="O162" s="154">
        <f>O157-O161</f>
        <v>0</v>
      </c>
      <c r="P162" s="154">
        <f t="shared" ref="P162:BI162" si="112">P157-P161</f>
        <v>0</v>
      </c>
      <c r="Q162" s="154">
        <f t="shared" si="112"/>
        <v>0</v>
      </c>
      <c r="R162" s="154">
        <f t="shared" si="112"/>
        <v>0</v>
      </c>
      <c r="S162" s="154">
        <f t="shared" si="112"/>
        <v>0</v>
      </c>
      <c r="T162" s="154">
        <f t="shared" si="112"/>
        <v>0</v>
      </c>
      <c r="U162" s="154">
        <f t="shared" si="112"/>
        <v>0</v>
      </c>
      <c r="V162" s="154">
        <f t="shared" si="112"/>
        <v>0</v>
      </c>
      <c r="W162" s="154">
        <f t="shared" si="112"/>
        <v>0</v>
      </c>
      <c r="X162" s="154">
        <f t="shared" si="112"/>
        <v>0</v>
      </c>
      <c r="Y162" s="154">
        <f t="shared" si="112"/>
        <v>0</v>
      </c>
      <c r="Z162" s="154">
        <f t="shared" si="112"/>
        <v>0</v>
      </c>
      <c r="AA162" s="154">
        <f t="shared" si="112"/>
        <v>0</v>
      </c>
      <c r="AB162" s="154">
        <f t="shared" si="112"/>
        <v>0</v>
      </c>
      <c r="AC162" s="154">
        <f t="shared" si="112"/>
        <v>0</v>
      </c>
      <c r="AD162" s="154">
        <f t="shared" si="112"/>
        <v>0</v>
      </c>
      <c r="AE162" s="154">
        <f t="shared" si="112"/>
        <v>0</v>
      </c>
      <c r="AF162" s="154">
        <f t="shared" si="112"/>
        <v>0</v>
      </c>
      <c r="AG162" s="154">
        <f t="shared" si="112"/>
        <v>0</v>
      </c>
      <c r="AH162" s="154">
        <f t="shared" si="112"/>
        <v>0</v>
      </c>
      <c r="AI162" s="154">
        <f t="shared" si="112"/>
        <v>0</v>
      </c>
      <c r="AJ162" s="154">
        <f t="shared" si="112"/>
        <v>0</v>
      </c>
      <c r="AK162" s="154">
        <f t="shared" si="112"/>
        <v>0</v>
      </c>
      <c r="AL162" s="154">
        <f t="shared" si="112"/>
        <v>0</v>
      </c>
      <c r="AM162" s="154">
        <f t="shared" si="112"/>
        <v>0</v>
      </c>
      <c r="AN162" s="154">
        <f t="shared" si="112"/>
        <v>0</v>
      </c>
      <c r="AO162" s="154">
        <f t="shared" si="112"/>
        <v>0</v>
      </c>
      <c r="AP162" s="154">
        <f t="shared" si="112"/>
        <v>0</v>
      </c>
      <c r="AQ162" s="154">
        <f t="shared" si="112"/>
        <v>0</v>
      </c>
      <c r="AR162" s="154">
        <f t="shared" si="112"/>
        <v>0</v>
      </c>
      <c r="AS162" s="154">
        <f t="shared" si="112"/>
        <v>0</v>
      </c>
      <c r="AT162" s="154">
        <f t="shared" si="112"/>
        <v>0</v>
      </c>
      <c r="AU162" s="154">
        <f t="shared" si="112"/>
        <v>0</v>
      </c>
      <c r="AV162" s="154">
        <f t="shared" si="112"/>
        <v>0</v>
      </c>
      <c r="AW162" s="154">
        <f t="shared" si="112"/>
        <v>0</v>
      </c>
      <c r="AX162" s="154">
        <f t="shared" si="112"/>
        <v>0</v>
      </c>
      <c r="AY162" s="154">
        <f t="shared" si="112"/>
        <v>0</v>
      </c>
      <c r="AZ162" s="154">
        <f t="shared" si="112"/>
        <v>0</v>
      </c>
      <c r="BA162" s="154">
        <f t="shared" si="112"/>
        <v>0</v>
      </c>
      <c r="BB162" s="154">
        <f t="shared" si="112"/>
        <v>0</v>
      </c>
      <c r="BC162" s="154">
        <f t="shared" si="112"/>
        <v>0</v>
      </c>
      <c r="BD162" s="154">
        <f t="shared" si="112"/>
        <v>0</v>
      </c>
      <c r="BE162" s="154">
        <f t="shared" si="112"/>
        <v>0</v>
      </c>
      <c r="BF162" s="154">
        <f t="shared" si="112"/>
        <v>0</v>
      </c>
      <c r="BG162" s="154">
        <f t="shared" si="112"/>
        <v>0</v>
      </c>
      <c r="BH162" s="154">
        <f t="shared" si="112"/>
        <v>0</v>
      </c>
      <c r="BI162" s="154">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9">
        <f t="shared" si="113"/>
        <v>0</v>
      </c>
      <c r="J164" s="61">
        <f t="shared" si="113"/>
        <v>0</v>
      </c>
      <c r="K164" s="199">
        <f t="shared" si="113"/>
        <v>0</v>
      </c>
      <c r="L164" s="61">
        <f t="shared" si="113"/>
        <v>0</v>
      </c>
      <c r="M164" s="61">
        <f t="shared" si="113"/>
        <v>0</v>
      </c>
      <c r="N164" s="61">
        <f t="shared" si="113"/>
        <v>0</v>
      </c>
      <c r="O164" s="61">
        <f t="shared" si="113"/>
        <v>0</v>
      </c>
      <c r="P164" s="199">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5" t="s">
        <v>27</v>
      </c>
    </row>
    <row r="7" spans="1:5" x14ac:dyDescent="0.25">
      <c r="E7" s="65" t="s">
        <v>205</v>
      </c>
    </row>
    <row r="8" spans="1:5" ht="21" x14ac:dyDescent="0.35">
      <c r="A8" s="92">
        <v>3</v>
      </c>
      <c r="B8" s="92"/>
      <c r="C8" s="92"/>
      <c r="D8" s="92" t="s">
        <v>60</v>
      </c>
      <c r="E8" s="172">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3">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2"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7"/>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1">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5" t="s">
        <v>784</v>
      </c>
    </row>
    <row r="2" spans="1:3" ht="15.75" x14ac:dyDescent="0.25">
      <c r="A2" s="205"/>
    </row>
    <row r="3" spans="1:3" x14ac:dyDescent="0.25">
      <c r="A3" t="s">
        <v>67</v>
      </c>
      <c r="B3" s="157" t="s">
        <v>785</v>
      </c>
      <c r="C3" s="157" t="s">
        <v>786</v>
      </c>
    </row>
    <row r="4" spans="1:3" x14ac:dyDescent="0.25">
      <c r="A4" s="206" t="s">
        <v>56</v>
      </c>
      <c r="B4" s="101">
        <f>'4.1 Comptes 2020 natures'!AZ153</f>
        <v>79042.83</v>
      </c>
      <c r="C4" s="101">
        <f>'4.9 Comptes 2020 par habitant'!E153</f>
        <v>366.27193932827737</v>
      </c>
    </row>
    <row r="5" spans="1:3" x14ac:dyDescent="0.25">
      <c r="A5" s="206" t="s">
        <v>18</v>
      </c>
      <c r="B5" s="101">
        <f>'4.1 Comptes 2020 natures'!F153</f>
        <v>183367.53000000003</v>
      </c>
      <c r="C5" s="101">
        <f>'4.9 Comptes 2020 par habitant'!F153</f>
        <v>679.13900000000012</v>
      </c>
    </row>
    <row r="6" spans="1:3" x14ac:dyDescent="0.25">
      <c r="A6" s="206" t="s">
        <v>57</v>
      </c>
      <c r="B6" s="101">
        <f>'4.1 Comptes 2020 natures'!G153</f>
        <v>-29321.279999999999</v>
      </c>
      <c r="C6" s="101">
        <f>'4.9 Comptes 2020 par habitant'!G153</f>
        <v>-60.456247422680406</v>
      </c>
    </row>
    <row r="7" spans="1:3" x14ac:dyDescent="0.25">
      <c r="A7" s="206" t="s">
        <v>53</v>
      </c>
      <c r="B7" s="101">
        <f>'4.1 Comptes 2020 natures'!H153</f>
        <v>21653.66</v>
      </c>
      <c r="C7" s="101">
        <f>'4.9 Comptes 2020 par habitant'!H153</f>
        <v>48.550807174887893</v>
      </c>
    </row>
    <row r="8" spans="1:3" x14ac:dyDescent="0.25">
      <c r="A8" s="206" t="s">
        <v>33</v>
      </c>
      <c r="B8" s="101">
        <f>'4.1 Comptes 2020 natures'!I153</f>
        <v>461623.62999999995</v>
      </c>
      <c r="C8" s="101">
        <f>'4.9 Comptes 2020 par habitant'!I153</f>
        <v>127.13402093087302</v>
      </c>
    </row>
    <row r="9" spans="1:3" x14ac:dyDescent="0.25">
      <c r="A9" s="206" t="s">
        <v>10</v>
      </c>
      <c r="B9" s="101">
        <f>'4.1 Comptes 2020 natures'!J153</f>
        <v>1051215.94</v>
      </c>
      <c r="C9" s="101">
        <f>'4.9 Comptes 2020 par habitant'!J153</f>
        <v>317.30031391488075</v>
      </c>
    </row>
    <row r="10" spans="1:3" x14ac:dyDescent="0.25">
      <c r="A10" s="206" t="s">
        <v>15</v>
      </c>
      <c r="B10" s="101">
        <f>'4.1 Comptes 2020 natures'!K153</f>
        <v>253856.48</v>
      </c>
      <c r="C10" s="101">
        <f>'4.9 Comptes 2020 par habitant'!K153</f>
        <v>96.012284417549182</v>
      </c>
    </row>
    <row r="11" spans="1:3" x14ac:dyDescent="0.25">
      <c r="A11" s="206" t="s">
        <v>28</v>
      </c>
      <c r="B11" s="101">
        <f>'4.1 Comptes 2020 natures'!L153</f>
        <v>2089673.1800000002</v>
      </c>
      <c r="C11" s="101">
        <f>'4.9 Comptes 2020 par habitant'!L153</f>
        <v>165.61049136154702</v>
      </c>
    </row>
    <row r="12" spans="1:3" x14ac:dyDescent="0.25">
      <c r="A12" s="206" t="s">
        <v>42</v>
      </c>
      <c r="B12" s="101">
        <f>'4.1 Comptes 2020 natures'!M153</f>
        <v>-1352.8600000000151</v>
      </c>
      <c r="C12" s="101">
        <f>'4.9 Comptes 2020 par habitant'!M153</f>
        <v>-0.98676878191102446</v>
      </c>
    </row>
    <row r="13" spans="1:3" x14ac:dyDescent="0.25">
      <c r="A13" s="206" t="s">
        <v>23</v>
      </c>
      <c r="B13" s="101">
        <f>'4.1 Comptes 2020 natures'!N153</f>
        <v>-63918.92</v>
      </c>
      <c r="C13" s="101">
        <f>'4.9 Comptes 2020 par habitant'!N153</f>
        <v>-541.68576271186441</v>
      </c>
    </row>
    <row r="14" spans="1:3" x14ac:dyDescent="0.25">
      <c r="A14" s="206" t="s">
        <v>22</v>
      </c>
      <c r="B14" s="101">
        <f>'4.1 Comptes 2020 natures'!O153</f>
        <v>-1177403.47</v>
      </c>
      <c r="C14" s="101">
        <f>'4.9 Comptes 2020 par habitant'!O153</f>
        <v>-164.281215292312</v>
      </c>
    </row>
    <row r="15" spans="1:3" x14ac:dyDescent="0.25">
      <c r="A15" s="206" t="s">
        <v>13</v>
      </c>
      <c r="B15" s="101">
        <f>'4.1 Comptes 2020 natures'!P153</f>
        <v>-93731.8</v>
      </c>
      <c r="C15" s="101">
        <f>'4.9 Comptes 2020 par habitant'!P153</f>
        <v>-177.52234848484849</v>
      </c>
    </row>
    <row r="16" spans="1:3" x14ac:dyDescent="0.25">
      <c r="A16" s="206" t="s">
        <v>17</v>
      </c>
      <c r="B16" s="101">
        <f>'4.1 Comptes 2020 natures'!Q153</f>
        <v>-9460.8100000000013</v>
      </c>
      <c r="C16" s="101">
        <f>'4.9 Comptes 2020 par habitant'!Q153</f>
        <v>-87.600092592592631</v>
      </c>
    </row>
    <row r="17" spans="1:3" x14ac:dyDescent="0.25">
      <c r="A17" s="206" t="s">
        <v>43</v>
      </c>
      <c r="B17" s="101">
        <f>'4.1 Comptes 2020 natures'!R153</f>
        <v>-16853.579999999998</v>
      </c>
      <c r="C17" s="101">
        <f>'4.9 Comptes 2020 par habitant'!R153</f>
        <v>-40.611036144578307</v>
      </c>
    </row>
    <row r="18" spans="1:3" x14ac:dyDescent="0.25">
      <c r="A18" s="206" t="s">
        <v>40</v>
      </c>
      <c r="B18" s="101">
        <f>'4.1 Comptes 2020 natures'!S153</f>
        <v>-13071.369999999995</v>
      </c>
      <c r="C18" s="101">
        <f>'4.9 Comptes 2020 par habitant'!S153</f>
        <v>-37.453782234956975</v>
      </c>
    </row>
    <row r="19" spans="1:3" x14ac:dyDescent="0.25">
      <c r="A19" s="206" t="s">
        <v>31</v>
      </c>
      <c r="B19" s="101">
        <f>'4.1 Comptes 2020 natures'!T153</f>
        <v>262757.42</v>
      </c>
      <c r="C19" s="101">
        <f>'4.9 Comptes 2020 par habitant'!T153</f>
        <v>382.47077147016012</v>
      </c>
    </row>
    <row r="20" spans="1:3" x14ac:dyDescent="0.25">
      <c r="A20" s="206" t="s">
        <v>12</v>
      </c>
      <c r="B20" s="101">
        <f>'4.1 Comptes 2020 natures'!U153</f>
        <v>9048.7099999999991</v>
      </c>
      <c r="C20" s="101">
        <f>'4.9 Comptes 2020 par habitant'!U153</f>
        <v>35.485137254901964</v>
      </c>
    </row>
    <row r="21" spans="1:3" x14ac:dyDescent="0.25">
      <c r="A21" s="206" t="s">
        <v>59</v>
      </c>
      <c r="B21" s="101">
        <f>'4.1 Comptes 2020 natures'!V153</f>
        <v>-152377.16</v>
      </c>
      <c r="C21" s="101">
        <f>'4.9 Comptes 2020 par habitant'!V153</f>
        <v>-349.48889908256882</v>
      </c>
    </row>
    <row r="22" spans="1:3" x14ac:dyDescent="0.25">
      <c r="A22" s="206" t="s">
        <v>27</v>
      </c>
      <c r="B22" s="101">
        <f>'4.1 Comptes 2020 natures'!W153</f>
        <v>364711.41000000003</v>
      </c>
      <c r="C22" s="101">
        <f>'4.9 Comptes 2020 par habitant'!W153</f>
        <v>114.32959561128527</v>
      </c>
    </row>
    <row r="23" spans="1:3" x14ac:dyDescent="0.25">
      <c r="A23" s="206" t="s">
        <v>30</v>
      </c>
      <c r="B23" s="101">
        <f>'4.1 Comptes 2020 natures'!X153</f>
        <v>26286.14</v>
      </c>
      <c r="C23" s="101">
        <f>'4.9 Comptes 2020 par habitant'!X153</f>
        <v>81.130061728395063</v>
      </c>
    </row>
    <row r="24" spans="1:3" x14ac:dyDescent="0.25">
      <c r="A24" s="206" t="s">
        <v>20</v>
      </c>
      <c r="B24" s="101">
        <f>'4.1 Comptes 2020 natures'!Y153</f>
        <v>178997.68</v>
      </c>
      <c r="C24" s="101">
        <f>'4.9 Comptes 2020 par habitant'!Y153</f>
        <v>143.65784911717495</v>
      </c>
    </row>
    <row r="25" spans="1:3" x14ac:dyDescent="0.25">
      <c r="A25" s="206" t="s">
        <v>45</v>
      </c>
      <c r="B25" s="101">
        <f>'4.1 Comptes 2020 natures'!Z153</f>
        <v>3517719.9899999998</v>
      </c>
      <c r="C25" s="101">
        <f>'4.9 Comptes 2020 par habitant'!Z153</f>
        <v>2302.1727683246072</v>
      </c>
    </row>
    <row r="26" spans="1:3" x14ac:dyDescent="0.25">
      <c r="A26" s="206" t="s">
        <v>71</v>
      </c>
      <c r="B26" s="101">
        <f>'4.1 Comptes 2020 natures'!AA153</f>
        <v>-11170.27</v>
      </c>
      <c r="C26" s="101">
        <f>'4.9 Comptes 2020 par habitant'!AA153</f>
        <v>-116.35697916666668</v>
      </c>
    </row>
    <row r="27" spans="1:3" x14ac:dyDescent="0.25">
      <c r="A27" s="206" t="s">
        <v>39</v>
      </c>
      <c r="B27" s="101">
        <f>'4.1 Comptes 2020 natures'!AB153</f>
        <v>41421.78</v>
      </c>
      <c r="C27" s="101">
        <f>'4.9 Comptes 2020 par habitant'!AB153</f>
        <v>277.99852348993289</v>
      </c>
    </row>
    <row r="28" spans="1:3" x14ac:dyDescent="0.25">
      <c r="A28" s="206" t="s">
        <v>19</v>
      </c>
      <c r="B28" s="101">
        <f>'4.1 Comptes 2020 natures'!AC153</f>
        <v>-114596.97</v>
      </c>
      <c r="C28" s="101">
        <f>'4.9 Comptes 2020 par habitant'!AC153</f>
        <v>-222.08715116279069</v>
      </c>
    </row>
    <row r="29" spans="1:3" x14ac:dyDescent="0.25">
      <c r="A29" s="206" t="s">
        <v>41</v>
      </c>
      <c r="B29" s="101">
        <f>'4.1 Comptes 2020 natures'!AD153</f>
        <v>-99000.459999999992</v>
      </c>
      <c r="C29" s="101">
        <f>'4.9 Comptes 2020 par habitant'!AD153</f>
        <v>-147.54166915052161</v>
      </c>
    </row>
    <row r="30" spans="1:3" x14ac:dyDescent="0.25">
      <c r="A30" s="206" t="s">
        <v>36</v>
      </c>
      <c r="B30" s="101">
        <f>'4.1 Comptes 2020 natures'!AE153</f>
        <v>-194273.68</v>
      </c>
      <c r="C30" s="101">
        <f>'4.9 Comptes 2020 par habitant'!AE153</f>
        <v>-339.63930069930069</v>
      </c>
    </row>
    <row r="31" spans="1:3" x14ac:dyDescent="0.25">
      <c r="A31" s="206" t="s">
        <v>7</v>
      </c>
      <c r="B31" s="101">
        <f>'4.1 Comptes 2020 natures'!AF153</f>
        <v>122538.76</v>
      </c>
      <c r="C31" s="101">
        <f>'4.9 Comptes 2020 par habitant'!AF153</f>
        <v>250.07910204081634</v>
      </c>
    </row>
    <row r="32" spans="1:3" x14ac:dyDescent="0.25">
      <c r="A32" s="206" t="s">
        <v>55</v>
      </c>
      <c r="B32" s="101">
        <f>'4.1 Comptes 2020 natures'!AG153</f>
        <v>1107210.3</v>
      </c>
      <c r="C32" s="101">
        <f>'4.9 Comptes 2020 par habitant'!AG153</f>
        <v>578.47978056426336</v>
      </c>
    </row>
    <row r="33" spans="1:3" x14ac:dyDescent="0.25">
      <c r="A33" s="206" t="s">
        <v>21</v>
      </c>
      <c r="B33" s="101">
        <f>'4.1 Comptes 2020 natures'!AH153</f>
        <v>243887.35</v>
      </c>
      <c r="C33" s="101">
        <f>'4.9 Comptes 2020 par habitant'!AH153</f>
        <v>93.264760994263867</v>
      </c>
    </row>
    <row r="34" spans="1:3" x14ac:dyDescent="0.25">
      <c r="A34" s="206" t="s">
        <v>6</v>
      </c>
      <c r="B34" s="101">
        <f>'4.1 Comptes 2020 natures'!AI153</f>
        <v>-5355.96</v>
      </c>
      <c r="C34" s="101">
        <f>'4.9 Comptes 2020 par habitant'!AI153</f>
        <v>-23.594537444933923</v>
      </c>
    </row>
    <row r="35" spans="1:3" x14ac:dyDescent="0.25">
      <c r="A35" s="206" t="s">
        <v>34</v>
      </c>
      <c r="B35" s="101">
        <f>'4.1 Comptes 2020 natures'!AJ153</f>
        <v>22586.400000000001</v>
      </c>
      <c r="C35" s="101">
        <f>'4.9 Comptes 2020 par habitant'!AJ153</f>
        <v>172.41526717557252</v>
      </c>
    </row>
    <row r="36" spans="1:3" x14ac:dyDescent="0.25">
      <c r="A36" s="206" t="s">
        <v>52</v>
      </c>
      <c r="B36" s="101">
        <f>'4.1 Comptes 2020 natures'!AK153</f>
        <v>153720</v>
      </c>
      <c r="C36" s="101">
        <f>'4.9 Comptes 2020 par habitant'!AK153</f>
        <v>81.118733509234829</v>
      </c>
    </row>
    <row r="37" spans="1:3" x14ac:dyDescent="0.25">
      <c r="A37" s="206" t="s">
        <v>14</v>
      </c>
      <c r="B37" s="101">
        <f>'4.1 Comptes 2020 natures'!AL153</f>
        <v>-32824.589999999997</v>
      </c>
      <c r="C37" s="101">
        <f>'4.9 Comptes 2020 par habitant'!AL153</f>
        <v>-28.920343612334797</v>
      </c>
    </row>
    <row r="38" spans="1:3" x14ac:dyDescent="0.25">
      <c r="A38" s="206" t="s">
        <v>32</v>
      </c>
      <c r="B38" s="101">
        <f>'4.1 Comptes 2020 natures'!AM153</f>
        <v>-5589.7700000000041</v>
      </c>
      <c r="C38" s="101">
        <f>'4.9 Comptes 2020 par habitant'!AM153</f>
        <v>-4.5042465753424636</v>
      </c>
    </row>
    <row r="39" spans="1:3" x14ac:dyDescent="0.25">
      <c r="A39" s="206" t="s">
        <v>29</v>
      </c>
      <c r="B39" s="101">
        <f>'4.1 Comptes 2020 natures'!AN153</f>
        <v>13711.05</v>
      </c>
      <c r="C39" s="101">
        <f>'4.9 Comptes 2020 par habitant'!AN153</f>
        <v>115.2189075630252</v>
      </c>
    </row>
    <row r="40" spans="1:3" x14ac:dyDescent="0.25">
      <c r="A40" s="206" t="s">
        <v>26</v>
      </c>
      <c r="B40" s="101">
        <f>'4.1 Comptes 2020 natures'!AO153</f>
        <v>341994.52</v>
      </c>
      <c r="C40" s="101">
        <f>'4.9 Comptes 2020 par habitant'!AO153</f>
        <v>286.18788284518831</v>
      </c>
    </row>
    <row r="41" spans="1:3" x14ac:dyDescent="0.25">
      <c r="A41" s="206" t="s">
        <v>48</v>
      </c>
      <c r="B41" s="101">
        <f>'4.1 Comptes 2020 natures'!AP153</f>
        <v>197653.74000000002</v>
      </c>
      <c r="C41" s="101">
        <f>'4.9 Comptes 2020 par habitant'!AP153</f>
        <v>298.12027149321273</v>
      </c>
    </row>
    <row r="42" spans="1:3" x14ac:dyDescent="0.25">
      <c r="A42" s="206" t="s">
        <v>44</v>
      </c>
      <c r="B42" s="101">
        <f>'4.1 Comptes 2020 natures'!AQ153</f>
        <v>23915.769999999997</v>
      </c>
      <c r="C42" s="101">
        <f>'4.9 Comptes 2020 par habitant'!AQ153</f>
        <v>37.078713178294571</v>
      </c>
    </row>
    <row r="43" spans="1:3" x14ac:dyDescent="0.25">
      <c r="A43" s="206" t="s">
        <v>37</v>
      </c>
      <c r="B43" s="101">
        <f>'4.1 Comptes 2020 natures'!AR153</f>
        <v>50671.79</v>
      </c>
      <c r="C43" s="101">
        <f>'4.9 Comptes 2020 par habitant'!AR153</f>
        <v>40.120182106096593</v>
      </c>
    </row>
    <row r="44" spans="1:3" x14ac:dyDescent="0.25">
      <c r="A44" s="206" t="s">
        <v>51</v>
      </c>
      <c r="B44" s="101">
        <f>'4.1 Comptes 2020 natures'!AS153</f>
        <v>52551.100000000006</v>
      </c>
      <c r="C44" s="101">
        <f>'4.9 Comptes 2020 par habitant'!AS153</f>
        <v>71.015000000000001</v>
      </c>
    </row>
    <row r="45" spans="1:3" x14ac:dyDescent="0.25">
      <c r="A45" s="206" t="s">
        <v>8</v>
      </c>
      <c r="B45" s="101">
        <f>'4.1 Comptes 2020 natures'!AT153</f>
        <v>35118.03</v>
      </c>
      <c r="C45" s="101">
        <f>'4.9 Comptes 2020 par habitant'!AT153</f>
        <v>34.161507782101168</v>
      </c>
    </row>
    <row r="46" spans="1:3" x14ac:dyDescent="0.25">
      <c r="A46" s="206" t="s">
        <v>24</v>
      </c>
      <c r="B46" s="101">
        <f>'4.1 Comptes 2020 natures'!AU153</f>
        <v>112815.42</v>
      </c>
      <c r="C46" s="101">
        <f>'4.9 Comptes 2020 par habitant'!AU153</f>
        <v>359.28477707006368</v>
      </c>
    </row>
    <row r="47" spans="1:3" x14ac:dyDescent="0.25">
      <c r="A47" s="206" t="s">
        <v>9</v>
      </c>
      <c r="B47" s="101">
        <f>'4.1 Comptes 2020 natures'!AV153</f>
        <v>-268507.58</v>
      </c>
      <c r="C47" s="101">
        <f>'4.9 Comptes 2020 par habitant'!AV153</f>
        <v>-111.87815833333333</v>
      </c>
    </row>
    <row r="48" spans="1:3" x14ac:dyDescent="0.25">
      <c r="A48" s="206" t="s">
        <v>62</v>
      </c>
      <c r="B48" s="101">
        <f>'4.1 Comptes 2020 natures'!AW153</f>
        <v>-9064.0300000000025</v>
      </c>
      <c r="C48" s="101">
        <f>'4.9 Comptes 2020 par habitant'!AW153</f>
        <v>-12.005337748344374</v>
      </c>
    </row>
    <row r="49" spans="1:3" x14ac:dyDescent="0.25">
      <c r="A49" s="206" t="s">
        <v>46</v>
      </c>
      <c r="B49" s="101">
        <f>'4.1 Comptes 2020 natures'!AX153</f>
        <v>29819.599999999999</v>
      </c>
      <c r="C49" s="101">
        <f>'4.9 Comptes 2020 par habitant'!AX153</f>
        <v>164.74917127071825</v>
      </c>
    </row>
    <row r="50" spans="1:3" x14ac:dyDescent="0.25">
      <c r="A50" s="206" t="s">
        <v>35</v>
      </c>
      <c r="B50" s="101">
        <f>'4.1 Comptes 2020 natures'!AY153</f>
        <v>73689.049999999988</v>
      </c>
      <c r="C50" s="101">
        <f>'4.9 Comptes 2020 par habitant'!AY153</f>
        <v>212.36037463976945</v>
      </c>
    </row>
    <row r="51" spans="1:3" x14ac:dyDescent="0.25">
      <c r="A51" s="206" t="s">
        <v>49</v>
      </c>
      <c r="B51" s="101">
        <f>'4.1 Comptes 2020 natures'!AZ153</f>
        <v>79042.83</v>
      </c>
      <c r="C51" s="101">
        <f>'4.9 Comptes 2020 par habitant'!AZ153</f>
        <v>46.770905325443792</v>
      </c>
    </row>
    <row r="52" spans="1:3" x14ac:dyDescent="0.25">
      <c r="A52" s="206" t="s">
        <v>47</v>
      </c>
      <c r="B52" s="101">
        <f>'4.1 Comptes 2020 natures'!BA153</f>
        <v>160878.04999999999</v>
      </c>
      <c r="C52" s="101">
        <f>'4.9 Comptes 2020 par habitant'!BA153</f>
        <v>415.70555555555558</v>
      </c>
    </row>
    <row r="53" spans="1:3" x14ac:dyDescent="0.25">
      <c r="A53" s="206" t="s">
        <v>58</v>
      </c>
      <c r="B53" s="101">
        <f>'4.1 Comptes 2020 natures'!BB153</f>
        <v>192186.95</v>
      </c>
      <c r="C53" s="101">
        <f>'4.9 Comptes 2020 par habitant'!BB153</f>
        <v>175.3530565693431</v>
      </c>
    </row>
    <row r="54" spans="1:3" x14ac:dyDescent="0.25">
      <c r="A54" s="206" t="s">
        <v>50</v>
      </c>
      <c r="B54" s="101">
        <f>'4.1 Comptes 2020 natures'!BC153</f>
        <v>-14911.230000000001</v>
      </c>
      <c r="C54" s="101">
        <f>'4.9 Comptes 2020 par habitant'!BC153</f>
        <v>-79.315053191489369</v>
      </c>
    </row>
    <row r="55" spans="1:3" x14ac:dyDescent="0.25">
      <c r="A55" s="206" t="s">
        <v>16</v>
      </c>
      <c r="B55" s="101">
        <f>'4.1 Comptes 2020 natures'!BD153</f>
        <v>1253727.51</v>
      </c>
      <c r="C55" s="101">
        <f>'4.9 Comptes 2020 par habitant'!BD153</f>
        <v>194.85973111594654</v>
      </c>
    </row>
    <row r="56" spans="1:3" x14ac:dyDescent="0.25">
      <c r="A56" s="206" t="s">
        <v>25</v>
      </c>
      <c r="B56" s="101">
        <f>'4.1 Comptes 2020 natures'!BE153</f>
        <v>49199.93</v>
      </c>
      <c r="C56" s="101">
        <f>'4.9 Comptes 2020 par habitant'!BE153</f>
        <v>87.857017857142864</v>
      </c>
    </row>
    <row r="57" spans="1:3" x14ac:dyDescent="0.25">
      <c r="A57" s="207" t="s">
        <v>65</v>
      </c>
      <c r="B57" s="101">
        <f>'4.1 Comptes 2020 natures'!BF153</f>
        <v>10804534.910000002</v>
      </c>
      <c r="C57" s="101">
        <f>'4.9 Comptes 2020 par habitant'!BF153</f>
        <v>6305.5353329471554</v>
      </c>
    </row>
    <row r="58" spans="1:3" x14ac:dyDescent="0.25">
      <c r="A58" s="207" t="s">
        <v>214</v>
      </c>
      <c r="B58" s="101">
        <f>'4.1 Comptes 2020 natures'!BG153</f>
        <v>3478485.71</v>
      </c>
      <c r="C58" s="101">
        <f>'4.9 Comptes 2020 par habitant'!BG153</f>
        <v>872.21820871604996</v>
      </c>
    </row>
    <row r="59" spans="1:3" x14ac:dyDescent="0.25">
      <c r="A59" s="207" t="s">
        <v>215</v>
      </c>
      <c r="B59" s="101">
        <f>'4.1 Comptes 2020 natures'!BH153</f>
        <v>4836251.0600000005</v>
      </c>
      <c r="C59" s="101">
        <f>'4.9 Comptes 2020 par habitant'!BH153</f>
        <v>3049.9784758108126</v>
      </c>
    </row>
    <row r="60" spans="1:3" x14ac:dyDescent="0.25">
      <c r="A60" s="207"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SUM(C21:BC21)</f>
        <v>396406.14147839695</v>
      </c>
      <c r="BE21" s="174">
        <f t="shared" si="0"/>
        <v>144861.82476393069</v>
      </c>
      <c r="BF21" s="174">
        <f t="shared" si="1"/>
        <v>88332.693126817394</v>
      </c>
      <c r="BG21" s="174">
        <f t="shared" si="2"/>
        <v>163211.62358764902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5">D9-D7</f>
        <v>1153471.1100000001</v>
      </c>
      <c r="E23" s="181">
        <f t="shared" si="5"/>
        <v>2152345.7399999993</v>
      </c>
      <c r="F23" s="181">
        <f t="shared" si="5"/>
        <v>279098.55999999959</v>
      </c>
      <c r="G23" s="181">
        <f t="shared" si="5"/>
        <v>11170166.720000001</v>
      </c>
      <c r="H23" s="181">
        <f t="shared" si="5"/>
        <v>16907788.280000001</v>
      </c>
      <c r="I23" s="181">
        <f t="shared" si="5"/>
        <v>1024849.9700000007</v>
      </c>
      <c r="J23" s="181">
        <f t="shared" si="5"/>
        <v>90861759.809999973</v>
      </c>
      <c r="K23" s="181">
        <f t="shared" si="5"/>
        <v>3075283.87</v>
      </c>
      <c r="L23" s="181">
        <f t="shared" si="5"/>
        <v>460672.40000000008</v>
      </c>
      <c r="M23" s="181">
        <f t="shared" si="5"/>
        <v>26943371.269999996</v>
      </c>
      <c r="N23" s="181">
        <f t="shared" si="5"/>
        <v>1367293.8900000001</v>
      </c>
      <c r="O23" s="181">
        <f t="shared" si="5"/>
        <v>245034.49999999994</v>
      </c>
      <c r="P23" s="181">
        <f t="shared" si="5"/>
        <v>1875698.62</v>
      </c>
      <c r="Q23" s="181">
        <f t="shared" si="5"/>
        <v>2088445.9300000002</v>
      </c>
      <c r="R23" s="181">
        <f t="shared" si="5"/>
        <v>205440.33000000101</v>
      </c>
      <c r="S23" s="181">
        <f t="shared" si="5"/>
        <v>266671.21000000008</v>
      </c>
      <c r="T23" s="181">
        <f t="shared" si="5"/>
        <v>1745113.8100000005</v>
      </c>
      <c r="U23" s="181">
        <f t="shared" si="5"/>
        <v>10830665.34</v>
      </c>
      <c r="V23" s="181">
        <f t="shared" si="5"/>
        <v>-1080510.5</v>
      </c>
      <c r="W23" s="181">
        <f t="shared" si="5"/>
        <v>7786577.9200000009</v>
      </c>
      <c r="X23" s="181">
        <f t="shared" si="5"/>
        <v>-9330221.8099999987</v>
      </c>
      <c r="Y23" s="181">
        <f t="shared" si="5"/>
        <v>135991.01</v>
      </c>
      <c r="Z23" s="181">
        <f t="shared" si="5"/>
        <v>-394266.68000000017</v>
      </c>
      <c r="AA23" s="181">
        <f t="shared" si="5"/>
        <v>795544.37999999942</v>
      </c>
      <c r="AB23" s="181">
        <f t="shared" si="5"/>
        <v>5398506.4100000011</v>
      </c>
      <c r="AC23" s="181">
        <f t="shared" si="5"/>
        <v>1285721.0300000003</v>
      </c>
      <c r="AD23" s="181">
        <f t="shared" si="5"/>
        <v>-3100962.9499999997</v>
      </c>
      <c r="AE23" s="181">
        <f t="shared" si="5"/>
        <v>-641556.43999999948</v>
      </c>
      <c r="AF23" s="181">
        <f t="shared" si="5"/>
        <v>10187147.34</v>
      </c>
      <c r="AG23" s="181">
        <f t="shared" si="5"/>
        <v>-118781.69999999995</v>
      </c>
      <c r="AH23" s="181">
        <f t="shared" si="5"/>
        <v>-1114795.5899999999</v>
      </c>
      <c r="AI23" s="181">
        <f t="shared" si="5"/>
        <v>12234275.83</v>
      </c>
      <c r="AJ23" s="181">
        <f t="shared" si="5"/>
        <v>5016254.2100000009</v>
      </c>
      <c r="AK23" s="181">
        <f t="shared" si="5"/>
        <v>6531766.3000000026</v>
      </c>
      <c r="AL23" s="181">
        <f t="shared" si="5"/>
        <v>1172309.7600000002</v>
      </c>
      <c r="AM23" s="181">
        <f t="shared" si="5"/>
        <v>-3843093.26</v>
      </c>
      <c r="AN23" s="181">
        <f t="shared" si="5"/>
        <v>1218796.6800000006</v>
      </c>
      <c r="AO23" s="181">
        <f t="shared" si="5"/>
        <v>928101.93000000017</v>
      </c>
      <c r="AP23" s="181">
        <f t="shared" si="5"/>
        <v>-1573158.0699999984</v>
      </c>
      <c r="AQ23" s="181">
        <f t="shared" si="5"/>
        <v>3349607.29</v>
      </c>
      <c r="AR23" s="181">
        <f t="shared" si="5"/>
        <v>4273584.87</v>
      </c>
      <c r="AS23" s="181">
        <f t="shared" si="5"/>
        <v>-1809164.0300000005</v>
      </c>
      <c r="AT23" s="181">
        <f t="shared" si="5"/>
        <v>8092477.2599999998</v>
      </c>
      <c r="AU23" s="181">
        <f t="shared" si="5"/>
        <v>2942305.2700000005</v>
      </c>
      <c r="AV23" s="181">
        <f t="shared" si="5"/>
        <v>303302.40000000002</v>
      </c>
      <c r="AW23" s="181">
        <f t="shared" si="5"/>
        <v>-28814.959999999963</v>
      </c>
      <c r="AX23" s="181">
        <f t="shared" si="5"/>
        <v>16166827.07</v>
      </c>
      <c r="AY23" s="181">
        <f t="shared" si="5"/>
        <v>-1285711.78</v>
      </c>
      <c r="AZ23" s="181">
        <f t="shared" si="5"/>
        <v>5956684.4200000009</v>
      </c>
      <c r="BA23" s="181">
        <f t="shared" si="5"/>
        <v>-570550.01</v>
      </c>
      <c r="BB23" s="181">
        <f t="shared" si="5"/>
        <v>38530094.520000011</v>
      </c>
      <c r="BC23" s="181">
        <f t="shared" si="5"/>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C24" si="6">D23/D5</f>
        <v>4272.1152222222227</v>
      </c>
      <c r="E24" s="174">
        <f t="shared" si="6"/>
        <v>4437.8262680412354</v>
      </c>
      <c r="F24" s="174">
        <f t="shared" si="6"/>
        <v>625.78152466367624</v>
      </c>
      <c r="G24" s="174">
        <f t="shared" si="6"/>
        <v>3076.3334398237403</v>
      </c>
      <c r="H24" s="174">
        <f t="shared" si="6"/>
        <v>5103.4676365831574</v>
      </c>
      <c r="I24" s="174">
        <f t="shared" si="6"/>
        <v>387.61345310136181</v>
      </c>
      <c r="J24" s="174">
        <f t="shared" si="6"/>
        <v>7200.9636875891565</v>
      </c>
      <c r="K24" s="174">
        <f t="shared" si="6"/>
        <v>2243.0954558716267</v>
      </c>
      <c r="L24" s="174">
        <f t="shared" si="6"/>
        <v>3904.0033898305091</v>
      </c>
      <c r="M24" s="174">
        <f t="shared" si="6"/>
        <v>3759.3653230082314</v>
      </c>
      <c r="N24" s="174">
        <f t="shared" si="6"/>
        <v>2589.5717613636366</v>
      </c>
      <c r="O24" s="174">
        <f t="shared" si="6"/>
        <v>2268.8379629629626</v>
      </c>
      <c r="P24" s="174">
        <f t="shared" si="6"/>
        <v>4519.7557108433739</v>
      </c>
      <c r="Q24" s="174">
        <f t="shared" si="6"/>
        <v>5984.085759312321</v>
      </c>
      <c r="R24" s="174">
        <f t="shared" si="6"/>
        <v>299.03978165939009</v>
      </c>
      <c r="S24" s="174">
        <f t="shared" si="6"/>
        <v>1045.7694509803925</v>
      </c>
      <c r="T24" s="174">
        <f t="shared" si="6"/>
        <v>4002.5546100917445</v>
      </c>
      <c r="U24" s="174">
        <f t="shared" si="6"/>
        <v>3395.1928965517241</v>
      </c>
      <c r="V24" s="174">
        <f t="shared" si="6"/>
        <v>-3334.9089506172841</v>
      </c>
      <c r="W24" s="174">
        <f t="shared" si="6"/>
        <v>6249.259967897272</v>
      </c>
      <c r="X24" s="174">
        <f t="shared" si="6"/>
        <v>-6106.1661060209417</v>
      </c>
      <c r="Y24" s="174">
        <f t="shared" si="6"/>
        <v>1416.5730208333334</v>
      </c>
      <c r="Z24" s="174">
        <f t="shared" si="6"/>
        <v>-2646.0851006711418</v>
      </c>
      <c r="AA24" s="174">
        <f t="shared" si="6"/>
        <v>1541.7526744186034</v>
      </c>
      <c r="AB24" s="174">
        <f t="shared" si="6"/>
        <v>8045.4640983606578</v>
      </c>
      <c r="AC24" s="174">
        <f t="shared" si="6"/>
        <v>2247.7640384615388</v>
      </c>
      <c r="AD24" s="174">
        <f t="shared" si="6"/>
        <v>-6328.4958163265301</v>
      </c>
      <c r="AE24" s="174">
        <f t="shared" si="6"/>
        <v>-335.19145245559014</v>
      </c>
      <c r="AF24" s="174">
        <f t="shared" si="6"/>
        <v>3895.6586386233271</v>
      </c>
      <c r="AG24" s="174">
        <f t="shared" si="6"/>
        <v>-523.26740088105703</v>
      </c>
      <c r="AH24" s="174">
        <f t="shared" si="6"/>
        <v>-8509.89</v>
      </c>
      <c r="AI24" s="174">
        <f t="shared" si="6"/>
        <v>6456.0822321899741</v>
      </c>
      <c r="AJ24" s="174">
        <f t="shared" si="6"/>
        <v>4419.6072334801765</v>
      </c>
      <c r="AK24" s="174">
        <f t="shared" si="6"/>
        <v>5263.3088638195022</v>
      </c>
      <c r="AL24" s="174">
        <f t="shared" si="6"/>
        <v>9851.342521008406</v>
      </c>
      <c r="AM24" s="174">
        <f t="shared" si="6"/>
        <v>-3215.977623430962</v>
      </c>
      <c r="AN24" s="174">
        <f t="shared" si="6"/>
        <v>1838.3057013574671</v>
      </c>
      <c r="AO24" s="174">
        <f t="shared" si="6"/>
        <v>1438.9177209302329</v>
      </c>
      <c r="AP24" s="174">
        <f t="shared" si="6"/>
        <v>-1245.5725019794129</v>
      </c>
      <c r="AQ24" s="174">
        <f t="shared" si="6"/>
        <v>4526.4963378378379</v>
      </c>
      <c r="AR24" s="174">
        <f t="shared" si="6"/>
        <v>4157.183725680934</v>
      </c>
      <c r="AS24" s="174">
        <f t="shared" si="6"/>
        <v>-5761.6688853503201</v>
      </c>
      <c r="AT24" s="174">
        <f t="shared" si="6"/>
        <v>3371.8655249999997</v>
      </c>
      <c r="AU24" s="174">
        <f t="shared" si="6"/>
        <v>3897.0930728476828</v>
      </c>
      <c r="AV24" s="174">
        <f t="shared" si="6"/>
        <v>1675.7038674033151</v>
      </c>
      <c r="AW24" s="174">
        <f t="shared" si="6"/>
        <v>-83.040230547550323</v>
      </c>
      <c r="AX24" s="174">
        <f t="shared" si="6"/>
        <v>9566.1698639053247</v>
      </c>
      <c r="AY24" s="174">
        <f t="shared" si="6"/>
        <v>-3322.2526614987082</v>
      </c>
      <c r="AZ24" s="174">
        <f t="shared" si="6"/>
        <v>5434.9310401459861</v>
      </c>
      <c r="BA24" s="174">
        <f t="shared" si="6"/>
        <v>-3034.8404787234044</v>
      </c>
      <c r="BB24" s="174">
        <f t="shared" si="6"/>
        <v>5988.513291886853</v>
      </c>
      <c r="BC24" s="174">
        <f t="shared" si="6"/>
        <v>3847.7301785714276</v>
      </c>
      <c r="BD24" s="174">
        <f>SUM(C24:BC24)</f>
        <v>113168.01041238003</v>
      </c>
      <c r="BE24" s="174">
        <f t="shared" si="0"/>
        <v>62485.644006223112</v>
      </c>
      <c r="BF24" s="174">
        <f t="shared" si="1"/>
        <v>-4387.5323883778119</v>
      </c>
      <c r="BG24" s="174">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1">
        <f>SUM(C42:BC42)</f>
        <v>538714835.05999994</v>
      </c>
      <c r="BE42" s="181">
        <f t="shared" ref="BE42" si="12">SUM(C42:U42)</f>
        <v>267409193.54999995</v>
      </c>
      <c r="BF42" s="181">
        <f t="shared" ref="BF42" si="13">SUM(V42:AH42)</f>
        <v>66360232.519999996</v>
      </c>
      <c r="BG42" s="181">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1">
        <f t="shared" si="16"/>
        <v>141329869.45999992</v>
      </c>
      <c r="BF45" s="181">
        <f t="shared" si="16"/>
        <v>11166293.910000011</v>
      </c>
      <c r="BG45" s="181">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14</v>
      </c>
    </row>
    <row r="5" spans="1:3" ht="15" customHeight="1" x14ac:dyDescent="0.25">
      <c r="C5" s="65"/>
    </row>
    <row r="6" spans="1:3" ht="15" customHeight="1" x14ac:dyDescent="0.25">
      <c r="C6" s="183" t="s">
        <v>205</v>
      </c>
    </row>
    <row r="7" spans="1:3" x14ac:dyDescent="0.25">
      <c r="A7" s="67">
        <v>10</v>
      </c>
      <c r="B7" s="67" t="s">
        <v>247</v>
      </c>
      <c r="C7" s="4">
        <f>HLOOKUP($B$4,'5.4 Tableau de l''endettement'!$C$6:$BC$24,2,0)</f>
        <v>5311232.7699999996</v>
      </c>
    </row>
    <row r="8" spans="1:3" x14ac:dyDescent="0.25">
      <c r="A8" s="67"/>
      <c r="B8" s="67"/>
      <c r="C8" s="4"/>
    </row>
    <row r="9" spans="1:3" x14ac:dyDescent="0.25">
      <c r="A9" s="67">
        <v>20</v>
      </c>
      <c r="B9" s="67" t="s">
        <v>259</v>
      </c>
      <c r="C9" s="4">
        <f>HLOOKUP($B$4,'5.4 Tableau de l''endettement'!$C$6:$BC$24,4,0)</f>
        <v>10327486.98</v>
      </c>
    </row>
    <row r="10" spans="1:3" x14ac:dyDescent="0.25">
      <c r="A10" s="67"/>
      <c r="B10" s="67"/>
      <c r="C10" s="4"/>
    </row>
    <row r="11" spans="1:3" x14ac:dyDescent="0.25">
      <c r="A11" s="67">
        <v>200</v>
      </c>
      <c r="B11" s="67" t="s">
        <v>460</v>
      </c>
      <c r="C11" s="4">
        <f>HLOOKUP($B$4,'5.4 Tableau de l''endettement'!$C$6:$BC$24,6,0)</f>
        <v>16414.79</v>
      </c>
    </row>
    <row r="12" spans="1:3" x14ac:dyDescent="0.25">
      <c r="A12" s="67"/>
      <c r="B12" s="67"/>
      <c r="C12" s="4"/>
    </row>
    <row r="13" spans="1:3" x14ac:dyDescent="0.25">
      <c r="A13" s="67">
        <v>201</v>
      </c>
      <c r="B13" s="67" t="s">
        <v>261</v>
      </c>
      <c r="C13" s="4">
        <f>HLOOKUP($B$4,'5.4 Tableau de l''endettement'!$C$6:$BC$24,8,0)</f>
        <v>1134925.8399999999</v>
      </c>
    </row>
    <row r="14" spans="1:3" x14ac:dyDescent="0.25">
      <c r="A14" s="67"/>
      <c r="B14" s="67"/>
      <c r="C14" s="4"/>
    </row>
    <row r="15" spans="1:3" x14ac:dyDescent="0.25">
      <c r="A15" s="67">
        <v>206</v>
      </c>
      <c r="B15" s="67" t="s">
        <v>264</v>
      </c>
      <c r="C15" s="4">
        <f>HLOOKUP($B$4,'5.4 Tableau de l''endettement'!$C$6:$BC$24,10,0)</f>
        <v>8541150</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9692490.629999999</v>
      </c>
    </row>
    <row r="21" spans="1:3" x14ac:dyDescent="0.25">
      <c r="A21" s="67"/>
      <c r="B21" s="69" t="s">
        <v>458</v>
      </c>
      <c r="C21" s="70">
        <f>HLOOKUP($B$4,'5.4 Tableau de l''endettement'!$C$6:$BC$24,16,0)</f>
        <v>8539.6393215859025</v>
      </c>
    </row>
    <row r="22" spans="1:3" x14ac:dyDescent="0.25">
      <c r="A22" s="67"/>
      <c r="B22" s="7"/>
      <c r="C22" s="4"/>
    </row>
    <row r="23" spans="1:3" x14ac:dyDescent="0.25">
      <c r="A23" s="67"/>
      <c r="B23" s="99" t="s">
        <v>656</v>
      </c>
      <c r="C23" s="100">
        <f>HLOOKUP($B$4,'5.4 Tableau de l''endettement'!$C$6:$BC$24,18,0)</f>
        <v>5016254.2100000009</v>
      </c>
    </row>
    <row r="24" spans="1:3" x14ac:dyDescent="0.25">
      <c r="A24" s="67"/>
      <c r="B24" s="69" t="s">
        <v>458</v>
      </c>
      <c r="C24" s="70">
        <f>HLOOKUP($B$4,'5.4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3398783</v>
      </c>
    </row>
    <row r="30" spans="1:3" x14ac:dyDescent="0.25">
      <c r="A30" s="67"/>
      <c r="B30" s="67"/>
      <c r="C30" s="4"/>
    </row>
    <row r="31" spans="1:3" x14ac:dyDescent="0.25">
      <c r="A31" s="67">
        <v>20</v>
      </c>
      <c r="B31" s="67" t="s">
        <v>259</v>
      </c>
      <c r="C31" s="4">
        <f>HLOOKUP($B$4,'5.4 Tableau de l''endettement'!$C$6:$BC$49,26,0)</f>
        <v>16414</v>
      </c>
    </row>
    <row r="32" spans="1:3" x14ac:dyDescent="0.25">
      <c r="A32" s="67"/>
      <c r="B32" s="67"/>
      <c r="C32" s="4"/>
    </row>
    <row r="33" spans="1:3" x14ac:dyDescent="0.25">
      <c r="A33" s="67">
        <v>200</v>
      </c>
      <c r="B33" s="67" t="s">
        <v>460</v>
      </c>
      <c r="C33" s="4">
        <f>HLOOKUP($B$4,'5.4 Tableau de l''endettement'!$C$6:$BC$49,28,0)</f>
        <v>320246</v>
      </c>
    </row>
    <row r="34" spans="1:3" x14ac:dyDescent="0.25">
      <c r="A34" s="67"/>
      <c r="B34" s="67"/>
      <c r="C34" s="4"/>
    </row>
    <row r="35" spans="1:3" x14ac:dyDescent="0.25">
      <c r="A35" s="67">
        <v>201</v>
      </c>
      <c r="B35" s="67" t="s">
        <v>261</v>
      </c>
      <c r="C35" s="4">
        <f>HLOOKUP($B$4,'5.4 Tableau de l''endettement'!$C$6:$BC$49,30,0)</f>
        <v>512379</v>
      </c>
    </row>
    <row r="36" spans="1:3" x14ac:dyDescent="0.25">
      <c r="A36" s="67"/>
      <c r="B36" s="67"/>
      <c r="C36" s="4"/>
    </row>
    <row r="37" spans="1:3" x14ac:dyDescent="0.25">
      <c r="A37" s="67">
        <v>206</v>
      </c>
      <c r="B37" s="67" t="s">
        <v>264</v>
      </c>
      <c r="C37" s="4">
        <f>HLOOKUP($B$4,'5.4 Tableau de l''endettement'!$C$6:$BC$49,32,0)</f>
        <v>5808800</v>
      </c>
    </row>
    <row r="38" spans="1:3" x14ac:dyDescent="0.25">
      <c r="A38" s="67"/>
      <c r="B38" s="67"/>
      <c r="C38" s="4"/>
    </row>
    <row r="39" spans="1:3" x14ac:dyDescent="0.25">
      <c r="A39" s="67">
        <v>2016</v>
      </c>
      <c r="B39" s="67" t="s">
        <v>276</v>
      </c>
      <c r="C39" s="4">
        <f>HLOOKUP($B$4,'5.4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HLOOKUP($B$4,'5.4 Tableau de l''endettement'!$C$6:$BC$49,37,0)</f>
        <v>6479125</v>
      </c>
    </row>
    <row r="43" spans="1:3" x14ac:dyDescent="0.25">
      <c r="A43" s="67"/>
      <c r="B43" s="69" t="s">
        <v>458</v>
      </c>
      <c r="C43" s="70">
        <f>HLOOKUP($B$4,'5.4 Tableau de l''endettement'!$C$6:$BC$49,38,0)</f>
        <v>5708.4801762114539</v>
      </c>
    </row>
    <row r="44" spans="1:3" x14ac:dyDescent="0.25">
      <c r="A44" s="67"/>
      <c r="B44" s="7"/>
      <c r="C44" s="4"/>
    </row>
    <row r="45" spans="1:3" x14ac:dyDescent="0.25">
      <c r="A45" s="67"/>
      <c r="B45" s="99" t="s">
        <v>658</v>
      </c>
      <c r="C45" s="100">
        <f>HLOOKUP($B$4,'5.4 Tableau de l''endettement'!$C$6:$BC$49,40,0)</f>
        <v>-3382369</v>
      </c>
    </row>
    <row r="46" spans="1:3" x14ac:dyDescent="0.25">
      <c r="A46" s="67"/>
      <c r="B46" s="69" t="s">
        <v>458</v>
      </c>
      <c r="C46" s="70">
        <f>HLOOKUP($B$4,'5.4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5" t="s">
        <v>35</v>
      </c>
    </row>
    <row r="7" spans="1:5" x14ac:dyDescent="0.25">
      <c r="E7" s="65" t="s">
        <v>205</v>
      </c>
    </row>
    <row r="8" spans="1:5" ht="21" x14ac:dyDescent="0.35">
      <c r="A8" s="92">
        <v>3</v>
      </c>
      <c r="B8" s="92"/>
      <c r="C8" s="92"/>
      <c r="D8" s="92" t="s">
        <v>60</v>
      </c>
      <c r="E8" s="172">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3">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5" t="s">
        <v>56</v>
      </c>
    </row>
    <row r="7" spans="1:5" x14ac:dyDescent="0.25">
      <c r="E7" s="65" t="s">
        <v>205</v>
      </c>
    </row>
    <row r="8" spans="1:5" ht="21" x14ac:dyDescent="0.35">
      <c r="A8" s="92">
        <v>3</v>
      </c>
      <c r="B8" s="92"/>
      <c r="C8" s="92"/>
      <c r="D8" s="92" t="s">
        <v>60</v>
      </c>
      <c r="E8" s="172">
        <f>HLOOKUP($D$5,'4.9 Comptes 2020 par habitant'!$E$3:$BE$158,2,0)</f>
        <v>4359.3356229685805</v>
      </c>
    </row>
    <row r="9" spans="1:5" x14ac:dyDescent="0.25">
      <c r="A9" s="94"/>
      <c r="B9" s="94">
        <v>30</v>
      </c>
      <c r="C9" s="94"/>
      <c r="D9" s="94" t="s">
        <v>61</v>
      </c>
      <c r="E9" s="95">
        <f>SUM(E10:E17)</f>
        <v>508.96890574214524</v>
      </c>
    </row>
    <row r="10" spans="1:5" x14ac:dyDescent="0.25">
      <c r="C10">
        <v>300</v>
      </c>
      <c r="D10" t="s">
        <v>80</v>
      </c>
      <c r="E10" s="89">
        <f>HLOOKUP($D$5,'4.9 Comptes 2020 par habitant'!$E$3:$BE$158,4,0)</f>
        <v>43.040953412784404</v>
      </c>
    </row>
    <row r="11" spans="1:5" x14ac:dyDescent="0.25">
      <c r="C11">
        <v>301</v>
      </c>
      <c r="D11" t="s">
        <v>81</v>
      </c>
      <c r="E11" s="89">
        <f>HLOOKUP($D$5,'4.9 Comptes 2020 par habitant'!$E$3:$BE$158,5,0)</f>
        <v>382.70260021668474</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77.633044420368364</v>
      </c>
    </row>
    <row r="16" spans="1:5" x14ac:dyDescent="0.25">
      <c r="C16">
        <v>306</v>
      </c>
      <c r="D16" t="s">
        <v>85</v>
      </c>
      <c r="E16" s="89">
        <f>HLOOKUP($D$5,'4.9 Comptes 2020 par habitant'!$E$3:$BE$158,10,0)</f>
        <v>0</v>
      </c>
    </row>
    <row r="17" spans="2:5" x14ac:dyDescent="0.25">
      <c r="C17">
        <v>309</v>
      </c>
      <c r="D17" t="s">
        <v>86</v>
      </c>
      <c r="E17" s="89">
        <f>HLOOKUP($D$5,'4.9 Comptes 2020 par habitant'!$E$3:$BE$158,11,0)</f>
        <v>5.592307692307692</v>
      </c>
    </row>
    <row r="18" spans="2:5" x14ac:dyDescent="0.25">
      <c r="E18" s="4"/>
    </row>
    <row r="19" spans="2:5" x14ac:dyDescent="0.25">
      <c r="B19" s="94">
        <v>31</v>
      </c>
      <c r="C19" s="94"/>
      <c r="D19" s="94" t="s">
        <v>87</v>
      </c>
      <c r="E19" s="95">
        <f>SUM(E20:E29)</f>
        <v>563.03210184182012</v>
      </c>
    </row>
    <row r="20" spans="2:5" x14ac:dyDescent="0.25">
      <c r="C20">
        <v>310</v>
      </c>
      <c r="D20" t="s">
        <v>88</v>
      </c>
      <c r="E20" s="89">
        <f>HLOOKUP($D$5,'4.9 Comptes 2020 par habitant'!$E$3:$BE$158,14,0)</f>
        <v>59.82329360780065</v>
      </c>
    </row>
    <row r="21" spans="2:5" x14ac:dyDescent="0.25">
      <c r="C21">
        <v>311</v>
      </c>
      <c r="D21" t="s">
        <v>462</v>
      </c>
      <c r="E21" s="89">
        <f>HLOOKUP($D$5,'4.9 Comptes 2020 par habitant'!$E$3:$BE$158,15,0)</f>
        <v>61.002221018418204</v>
      </c>
    </row>
    <row r="22" spans="2:5" x14ac:dyDescent="0.25">
      <c r="C22">
        <v>312</v>
      </c>
      <c r="D22" t="s">
        <v>90</v>
      </c>
      <c r="E22" s="89">
        <f>HLOOKUP($D$5,'4.9 Comptes 2020 par habitant'!$E$3:$BE$158,16,0)</f>
        <v>72.245232936078011</v>
      </c>
    </row>
    <row r="23" spans="2:5" x14ac:dyDescent="0.25">
      <c r="C23">
        <v>313</v>
      </c>
      <c r="D23" t="s">
        <v>91</v>
      </c>
      <c r="E23" s="89">
        <f>HLOOKUP($D$5,'4.9 Comptes 2020 par habitant'!$E$3:$BE$158,17,0)</f>
        <v>86.043640303358615</v>
      </c>
    </row>
    <row r="24" spans="2:5" x14ac:dyDescent="0.25">
      <c r="C24">
        <v>314</v>
      </c>
      <c r="D24" t="s">
        <v>92</v>
      </c>
      <c r="E24" s="89">
        <f>HLOOKUP($D$5,'4.9 Comptes 2020 par habitant'!$E$3:$BE$158,18,0)</f>
        <v>125.43250270855904</v>
      </c>
    </row>
    <row r="25" spans="2:5" x14ac:dyDescent="0.25">
      <c r="C25">
        <v>315</v>
      </c>
      <c r="D25" t="s">
        <v>93</v>
      </c>
      <c r="E25" s="89">
        <f>HLOOKUP($D$5,'4.9 Comptes 2020 par habitant'!$E$3:$BE$158,19,0)</f>
        <v>35.926814734561212</v>
      </c>
    </row>
    <row r="26" spans="2:5" x14ac:dyDescent="0.25">
      <c r="C26">
        <v>316</v>
      </c>
      <c r="D26" t="s">
        <v>94</v>
      </c>
      <c r="E26" s="89">
        <f>HLOOKUP($D$5,'4.9 Comptes 2020 par habitant'!$E$3:$BE$158,20,0)</f>
        <v>4.2006500541711809</v>
      </c>
    </row>
    <row r="27" spans="2:5" x14ac:dyDescent="0.25">
      <c r="C27">
        <v>317</v>
      </c>
      <c r="D27" t="s">
        <v>95</v>
      </c>
      <c r="E27" s="89">
        <f>HLOOKUP($D$5,'4.9 Comptes 2020 par habitant'!$E$3:$BE$158,21,0)</f>
        <v>18.963542795232936</v>
      </c>
    </row>
    <row r="28" spans="2:5" x14ac:dyDescent="0.25">
      <c r="C28">
        <v>318</v>
      </c>
      <c r="D28" t="s">
        <v>96</v>
      </c>
      <c r="E28" s="89">
        <f>HLOOKUP($D$5,'4.9 Comptes 2020 par habitant'!$E$3:$BE$158,22,0)</f>
        <v>96.872101841820154</v>
      </c>
    </row>
    <row r="29" spans="2:5" x14ac:dyDescent="0.25">
      <c r="C29">
        <v>319</v>
      </c>
      <c r="D29" t="s">
        <v>97</v>
      </c>
      <c r="E29" s="89">
        <f>HLOOKUP($D$5,'4.9 Comptes 2020 par habitant'!$E$3:$BE$158,23,0)</f>
        <v>2.522101841820152</v>
      </c>
    </row>
    <row r="30" spans="2:5" x14ac:dyDescent="0.25">
      <c r="E30" s="4"/>
    </row>
    <row r="31" spans="2:5" x14ac:dyDescent="0.25">
      <c r="B31" s="94">
        <v>33</v>
      </c>
      <c r="C31" s="94"/>
      <c r="D31" s="94" t="s">
        <v>98</v>
      </c>
      <c r="E31" s="95">
        <f>SUM(E32:E33)</f>
        <v>547.51785482123512</v>
      </c>
    </row>
    <row r="32" spans="2:5" x14ac:dyDescent="0.25">
      <c r="C32">
        <v>330</v>
      </c>
      <c r="D32" t="s">
        <v>100</v>
      </c>
      <c r="E32" s="89">
        <f>HLOOKUP($D$5,'4.9 Comptes 2020 par habitant'!$E$3:$BE$158,26,0)</f>
        <v>511.99821235102922</v>
      </c>
    </row>
    <row r="33" spans="2:5" x14ac:dyDescent="0.25">
      <c r="C33">
        <v>332</v>
      </c>
      <c r="D33" t="s">
        <v>99</v>
      </c>
      <c r="E33" s="89">
        <f>HLOOKUP($D$5,'4.9 Comptes 2020 par habitant'!$E$3:$BE$158,27,0)</f>
        <v>35.519642470205845</v>
      </c>
    </row>
    <row r="34" spans="2:5" x14ac:dyDescent="0.25">
      <c r="E34" s="4"/>
    </row>
    <row r="35" spans="2:5" x14ac:dyDescent="0.25">
      <c r="B35" s="94">
        <v>34</v>
      </c>
      <c r="C35" s="94"/>
      <c r="D35" s="94" t="s">
        <v>101</v>
      </c>
      <c r="E35" s="95">
        <f>SUM(E36:E41)</f>
        <v>40.224962080173349</v>
      </c>
    </row>
    <row r="36" spans="2:5" x14ac:dyDescent="0.25">
      <c r="C36">
        <v>340</v>
      </c>
      <c r="D36" t="s">
        <v>102</v>
      </c>
      <c r="E36" s="89">
        <f>HLOOKUP($D$5,'4.9 Comptes 2020 par habitant'!$E$3:$BE$158,30,0)</f>
        <v>40.224962080173349</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0</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23.058017334777897</v>
      </c>
    </row>
    <row r="44" spans="2:5" x14ac:dyDescent="0.25">
      <c r="C44">
        <v>350</v>
      </c>
      <c r="D44" t="s">
        <v>109</v>
      </c>
      <c r="E44" s="89">
        <f>HLOOKUP($D$5,'4.9 Comptes 2020 par habitant'!$E$3:$BE$158,38,0)</f>
        <v>0</v>
      </c>
    </row>
    <row r="45" spans="2:5" x14ac:dyDescent="0.25">
      <c r="C45">
        <v>351</v>
      </c>
      <c r="D45" t="s">
        <v>108</v>
      </c>
      <c r="E45" s="89">
        <f>HLOOKUP($D$5,'4.9 Comptes 2020 par habitant'!$E$3:$BE$158,39,0)</f>
        <v>23.058017334777897</v>
      </c>
    </row>
    <row r="46" spans="2:5" x14ac:dyDescent="0.25">
      <c r="E46" s="4"/>
    </row>
    <row r="47" spans="2:5" x14ac:dyDescent="0.25">
      <c r="B47" s="94">
        <v>36</v>
      </c>
      <c r="C47" s="94"/>
      <c r="D47" s="94" t="s">
        <v>110</v>
      </c>
      <c r="E47" s="95">
        <f>SUM(E48:E55)</f>
        <v>2276.8306392199347</v>
      </c>
    </row>
    <row r="48" spans="2:5" x14ac:dyDescent="0.25">
      <c r="C48">
        <v>360</v>
      </c>
      <c r="D48" t="s">
        <v>111</v>
      </c>
      <c r="E48" s="89">
        <f>HLOOKUP($D$5,'4.9 Comptes 2020 par habitant'!$E$3:$BE$158,42,0)</f>
        <v>1.5277356446370529</v>
      </c>
    </row>
    <row r="49" spans="2:5" x14ac:dyDescent="0.25">
      <c r="C49">
        <v>361</v>
      </c>
      <c r="D49" t="s">
        <v>112</v>
      </c>
      <c r="E49" s="89">
        <f>HLOOKUP($D$5,'4.9 Comptes 2020 par habitant'!$E$3:$BE$158,43,0)</f>
        <v>1752.6000866738893</v>
      </c>
    </row>
    <row r="50" spans="2:5" x14ac:dyDescent="0.25">
      <c r="C50">
        <v>362</v>
      </c>
      <c r="D50" t="s">
        <v>113</v>
      </c>
      <c r="E50" s="89">
        <f>HLOOKUP($D$5,'4.9 Comptes 2020 par habitant'!$E$3:$BE$158,44,0)</f>
        <v>0</v>
      </c>
    </row>
    <row r="51" spans="2:5" x14ac:dyDescent="0.25">
      <c r="C51">
        <v>363</v>
      </c>
      <c r="D51" t="s">
        <v>114</v>
      </c>
      <c r="E51" s="89">
        <f>HLOOKUP($D$5,'4.9 Comptes 2020 par habitant'!$E$3:$BE$158,45,0)</f>
        <v>513.79057421451785</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8.9122426868905738</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346.69555796316359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346.69555796316359</v>
      </c>
    </row>
    <row r="67" spans="1:5" x14ac:dyDescent="0.25">
      <c r="E67" s="4"/>
    </row>
    <row r="68" spans="1:5" x14ac:dyDescent="0.25">
      <c r="B68" s="94">
        <v>39</v>
      </c>
      <c r="C68" s="94"/>
      <c r="D68" s="94" t="s">
        <v>128</v>
      </c>
      <c r="E68" s="95">
        <f>SUM(E69:E76)</f>
        <v>53.007583965330447</v>
      </c>
    </row>
    <row r="69" spans="1:5" x14ac:dyDescent="0.25">
      <c r="C69">
        <v>390</v>
      </c>
      <c r="D69" t="s">
        <v>129</v>
      </c>
      <c r="E69" s="89">
        <f>HLOOKUP($D$5,'4.9 Comptes 2020 par habitant'!$E$3:$BE$158,63,0)</f>
        <v>0</v>
      </c>
    </row>
    <row r="70" spans="1:5" x14ac:dyDescent="0.25">
      <c r="C70">
        <v>391</v>
      </c>
      <c r="D70" t="s">
        <v>130</v>
      </c>
      <c r="E70" s="89">
        <f>HLOOKUP($D$5,'4.9 Comptes 2020 par habitant'!$E$3:$BE$158,64,0)</f>
        <v>53.007583965330447</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3">
        <f>HLOOKUP($D$5,'4.9 Comptes 2020 par habitant'!$E$3:$BE$158,73,0)</f>
        <v>4725.6075622968583</v>
      </c>
    </row>
    <row r="80" spans="1:5" x14ac:dyDescent="0.25">
      <c r="A80" s="7"/>
      <c r="B80" s="96">
        <v>40</v>
      </c>
      <c r="C80" s="96"/>
      <c r="D80" s="96" t="s">
        <v>79</v>
      </c>
      <c r="E80" s="91">
        <f>SUM(E81:E84)</f>
        <v>3608.782936078007</v>
      </c>
    </row>
    <row r="81" spans="2:5" x14ac:dyDescent="0.25">
      <c r="C81">
        <v>400</v>
      </c>
      <c r="D81" t="s">
        <v>138</v>
      </c>
      <c r="E81" s="89">
        <f>HLOOKUP($D$5,'4.9 Comptes 2020 par habitant'!$E$3:$BE$158,75,0)</f>
        <v>2599.1880823401953</v>
      </c>
    </row>
    <row r="82" spans="2:5" x14ac:dyDescent="0.25">
      <c r="C82">
        <v>401</v>
      </c>
      <c r="D82" t="s">
        <v>139</v>
      </c>
      <c r="E82" s="89">
        <f>HLOOKUP($D$5,'4.9 Comptes 2020 par habitant'!$E$3:$BE$158,76,0)</f>
        <v>202.45260021668471</v>
      </c>
    </row>
    <row r="83" spans="2:5" x14ac:dyDescent="0.25">
      <c r="C83">
        <v>402</v>
      </c>
      <c r="D83" t="s">
        <v>140</v>
      </c>
      <c r="E83" s="89">
        <f>HLOOKUP($D$5,'4.9 Comptes 2020 par habitant'!$E$3:$BE$158,77,0)</f>
        <v>792.42118093174429</v>
      </c>
    </row>
    <row r="84" spans="2:5" x14ac:dyDescent="0.25">
      <c r="C84">
        <v>403</v>
      </c>
      <c r="D84" t="s">
        <v>141</v>
      </c>
      <c r="E84" s="89">
        <f>HLOOKUP($D$5,'4.9 Comptes 2020 par habitant'!$E$3:$BE$158,78,0)</f>
        <v>14.721072589382448</v>
      </c>
    </row>
    <row r="85" spans="2:5" x14ac:dyDescent="0.25">
      <c r="E85" s="4"/>
    </row>
    <row r="86" spans="2:5" x14ac:dyDescent="0.25">
      <c r="B86" s="96">
        <v>41</v>
      </c>
      <c r="C86" s="96"/>
      <c r="D86" s="96" t="s">
        <v>142</v>
      </c>
      <c r="E86" s="91">
        <f>SUM(E87:E90)</f>
        <v>0</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0</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697.63892741061761</v>
      </c>
    </row>
    <row r="93" spans="2:5" x14ac:dyDescent="0.25">
      <c r="C93">
        <v>420</v>
      </c>
      <c r="D93" t="s">
        <v>148</v>
      </c>
      <c r="E93" s="89">
        <f>HLOOKUP($D$5,'4.9 Comptes 2020 par habitant'!$E$3:$BE$158,87,0)</f>
        <v>39.122156013001081</v>
      </c>
    </row>
    <row r="94" spans="2:5" x14ac:dyDescent="0.25">
      <c r="C94">
        <v>421</v>
      </c>
      <c r="D94" t="s">
        <v>149</v>
      </c>
      <c r="E94" s="89">
        <f>HLOOKUP($D$5,'4.9 Comptes 2020 par habitant'!$E$3:$BE$158,88,0)</f>
        <v>12.885969664138678</v>
      </c>
    </row>
    <row r="95" spans="2:5" x14ac:dyDescent="0.25">
      <c r="C95">
        <v>422</v>
      </c>
      <c r="D95" t="s">
        <v>150</v>
      </c>
      <c r="E95" s="89">
        <f>HLOOKUP($D$5,'4.9 Comptes 2020 par habitant'!$E$3:$BE$158,89,0)</f>
        <v>0</v>
      </c>
    </row>
    <row r="96" spans="2:5" x14ac:dyDescent="0.25">
      <c r="C96">
        <v>423</v>
      </c>
      <c r="D96" t="s">
        <v>151</v>
      </c>
      <c r="E96" s="89">
        <f>HLOOKUP($D$5,'4.9 Comptes 2020 par habitant'!$E$3:$BE$158,90,0)</f>
        <v>4.4203683640303355</v>
      </c>
    </row>
    <row r="97" spans="2:5" x14ac:dyDescent="0.25">
      <c r="C97">
        <v>424</v>
      </c>
      <c r="D97" t="s">
        <v>152</v>
      </c>
      <c r="E97" s="89">
        <f>HLOOKUP($D$5,'4.9 Comptes 2020 par habitant'!$E$3:$BE$158,91,0)</f>
        <v>589.57237269772486</v>
      </c>
    </row>
    <row r="98" spans="2:5" x14ac:dyDescent="0.25">
      <c r="C98">
        <v>425</v>
      </c>
      <c r="D98" t="s">
        <v>153</v>
      </c>
      <c r="E98" s="89">
        <f>HLOOKUP($D$5,'4.9 Comptes 2020 par habitant'!$E$3:$BE$158,92,0)</f>
        <v>8.0440411700975076</v>
      </c>
    </row>
    <row r="99" spans="2:5" x14ac:dyDescent="0.25">
      <c r="C99">
        <v>426</v>
      </c>
      <c r="D99" t="s">
        <v>154</v>
      </c>
      <c r="E99" s="89">
        <f>HLOOKUP($D$5,'4.9 Comptes 2020 par habitant'!$E$3:$BE$158,93,0)</f>
        <v>43.35566630552546</v>
      </c>
    </row>
    <row r="100" spans="2:5" x14ac:dyDescent="0.25">
      <c r="C100">
        <v>427</v>
      </c>
      <c r="D100" t="s">
        <v>155</v>
      </c>
      <c r="E100" s="89">
        <f>HLOOKUP($D$5,'4.9 Comptes 2020 par habitant'!$E$3:$BE$158,94,0)</f>
        <v>0.23835319609967498</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HLOOKUP($D$5,'4.9 Comptes 2020 par habitant'!$E$3:$BE$158,98,0)</f>
        <v>0</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51.741224268689059</v>
      </c>
    </row>
    <row r="110" spans="2:5" x14ac:dyDescent="0.25">
      <c r="C110">
        <v>440</v>
      </c>
      <c r="D110" t="s">
        <v>163</v>
      </c>
      <c r="E110" s="89">
        <f>HLOOKUP($D$5,'4.9 Comptes 2020 par habitant'!$E$3:$BE$158,104,0)</f>
        <v>25.371939328277357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6.5113759479956665E-2</v>
      </c>
    </row>
    <row r="113" spans="2:5" x14ac:dyDescent="0.25">
      <c r="C113">
        <v>443</v>
      </c>
      <c r="D113" t="s">
        <v>166</v>
      </c>
      <c r="E113" s="89">
        <f>HLOOKUP($D$5,'4.9 Comptes 2020 par habitant'!$E$3:$BE$158,107,0)</f>
        <v>24.909534127843987</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1.3946370530877572</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2.8303900325027085</v>
      </c>
    </row>
    <row r="122" spans="2:5" x14ac:dyDescent="0.25">
      <c r="C122">
        <v>450</v>
      </c>
      <c r="D122" t="s">
        <v>172</v>
      </c>
      <c r="E122" s="89">
        <f>HLOOKUP($D$5,'4.9 Comptes 2020 par habitant'!$E$3:$BE$158,116,0)</f>
        <v>2.8303900325027085</v>
      </c>
    </row>
    <row r="123" spans="2:5" x14ac:dyDescent="0.25">
      <c r="C123">
        <v>451</v>
      </c>
      <c r="D123" t="s">
        <v>173</v>
      </c>
      <c r="E123" s="89">
        <f>HLOOKUP($D$5,'4.9 Comptes 2020 par habitant'!$E$3:$BE$158,117,0)</f>
        <v>0</v>
      </c>
    </row>
    <row r="124" spans="2:5" x14ac:dyDescent="0.25">
      <c r="E124" s="4"/>
    </row>
    <row r="125" spans="2:5" x14ac:dyDescent="0.25">
      <c r="B125" s="96">
        <v>46</v>
      </c>
      <c r="C125" s="96"/>
      <c r="D125" s="96" t="s">
        <v>175</v>
      </c>
      <c r="E125" s="91">
        <f>SUM(E126:E130)</f>
        <v>311.6065005417118</v>
      </c>
    </row>
    <row r="126" spans="2:5" x14ac:dyDescent="0.25">
      <c r="C126">
        <v>460</v>
      </c>
      <c r="D126" t="s">
        <v>176</v>
      </c>
      <c r="E126" s="89">
        <f>HLOOKUP($D$5,'4.9 Comptes 2020 par habitant'!$E$3:$BE$158,120,0)</f>
        <v>4.5319609967497287</v>
      </c>
    </row>
    <row r="127" spans="2:5" x14ac:dyDescent="0.25">
      <c r="C127">
        <v>461</v>
      </c>
      <c r="D127" t="s">
        <v>177</v>
      </c>
      <c r="E127" s="89">
        <f>HLOOKUP($D$5,'4.9 Comptes 2020 par habitant'!$E$3:$BE$158,121,0)</f>
        <v>157.79225352112675</v>
      </c>
    </row>
    <row r="128" spans="2:5" x14ac:dyDescent="0.25">
      <c r="C128">
        <v>462</v>
      </c>
      <c r="D128" t="s">
        <v>113</v>
      </c>
      <c r="E128" s="89">
        <f>HLOOKUP($D$5,'4.9 Comptes 2020 par habitant'!$E$3:$BE$158,122,0)</f>
        <v>101.02058504875406</v>
      </c>
    </row>
    <row r="129" spans="2:5" x14ac:dyDescent="0.25">
      <c r="C129">
        <v>463</v>
      </c>
      <c r="D129" t="s">
        <v>178</v>
      </c>
      <c r="E129" s="89">
        <f>HLOOKUP($D$5,'4.9 Comptes 2020 par habitant'!$E$3:$BE$158,123,0)</f>
        <v>48.048916576381366</v>
      </c>
    </row>
    <row r="130" spans="2:5" x14ac:dyDescent="0.25">
      <c r="C130">
        <v>469</v>
      </c>
      <c r="D130" t="s">
        <v>179</v>
      </c>
      <c r="E130" s="89">
        <f>HLOOKUP($D$5,'4.9 Comptes 2020 par habitant'!$E$3:$BE$158,124,0)</f>
        <v>0.21278439869989166</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53.007583965330447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53.007583965330447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366.27193932827737</v>
      </c>
    </row>
    <row r="158" spans="1:5" x14ac:dyDescent="0.25">
      <c r="C158">
        <v>900</v>
      </c>
      <c r="D158" t="s">
        <v>196</v>
      </c>
      <c r="E158" s="89">
        <f>HLOOKUP($D$5,'4.9 Comptes 2020 par habitant'!$E$3:$BE$158,152,0)</f>
        <v>6.5169555796316354</v>
      </c>
    </row>
    <row r="159" spans="1:5" x14ac:dyDescent="0.25">
      <c r="C159">
        <v>901</v>
      </c>
      <c r="D159" t="s">
        <v>197</v>
      </c>
      <c r="E159" s="89">
        <f>HLOOKUP($D$5,'4.9 Comptes 2020 par habitant'!$E$3:$BE$158,153,0)</f>
        <v>359.75498374864571</v>
      </c>
    </row>
    <row r="160" spans="1:5" x14ac:dyDescent="0.25">
      <c r="E160" s="4"/>
    </row>
    <row r="161" spans="4:5" x14ac:dyDescent="0.25">
      <c r="D161" s="7" t="s">
        <v>198</v>
      </c>
      <c r="E161" s="80">
        <f>HLOOKUP($D$5,'4.9 Comptes 2020 par habitant'!$E$3:$BE$158,155,0)</f>
        <v>366.27193932827737</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5.3 Bilan par commune</vt:lpstr>
      <vt:lpstr>5.2 Tableau bilan</vt:lpstr>
      <vt:lpstr>5.1.2Graphique capitaux propres</vt:lpstr>
      <vt:lpstr>5.4 Tableau de l'endettement</vt:lpstr>
      <vt:lpstr>5.4.1Graphique de l'endettement</vt:lpstr>
      <vt:lpstr>5.5 Endettement par commune</vt:lpstr>
      <vt:lpstr>6.1 Investissements</vt:lpstr>
      <vt:lpstr>6.2 Investissements par commune</vt:lpstr>
      <vt:lpstr>Définition des indicateurs</vt:lpstr>
      <vt:lpstr>Base de données indicateurs1</vt:lpstr>
      <vt:lpstr>Endett. net + degré d'auto.</vt:lpstr>
      <vt:lpstr>Quotité d'intéret + revenus det</vt:lpstr>
      <vt:lpstr>Quotité d'invest + fin.</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2022-06-14T05:54:24Z</dcterms:modified>
</cp:coreProperties>
</file>