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bookViews>
    <workbookView xWindow="0" yWindow="0" windowWidth="28800" windowHeight="12375" firstSheet="30" activeTab="30"/>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3 Bilan par commune" sheetId="51" state="hidden" r:id="rId21"/>
    <sheet name="5.2 Tableau bilan" sheetId="31" state="hidden" r:id="rId22"/>
    <sheet name="5.1.2Graphique capitaux propres" sheetId="83" state="hidden" r:id="rId23"/>
    <sheet name="5.4 Tableau de l'endettement" sheetId="32" state="hidden" r:id="rId24"/>
    <sheet name="5.4.1Graphique de l'endettement" sheetId="82" state="hidden" r:id="rId25"/>
    <sheet name="5.5 Endettement par commune" sheetId="52" state="hidden" r:id="rId26"/>
    <sheet name="6.1 Investissements" sheetId="34" state="hidden" r:id="rId27"/>
    <sheet name="6.2 Investissements par commune" sheetId="53" state="hidden" r:id="rId28"/>
    <sheet name="7, Définition des indicateurs" sheetId="54" state="hidden" r:id="rId29"/>
    <sheet name="Base de données indicateurs1" sheetId="42" state="hidden" r:id="rId30"/>
    <sheet name="7.1 Quotient endettement net" sheetId="35"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6" i="35"/>
  <c r="E7" i="35"/>
  <c r="E11" i="35"/>
  <c r="E12" i="35"/>
  <c r="E13" i="35"/>
  <c r="E14" i="35"/>
  <c r="E24" i="35"/>
  <c r="E25" i="35"/>
  <c r="E26" i="35"/>
  <c r="E27" i="35"/>
  <c r="E28" i="35"/>
  <c r="E29" i="35"/>
  <c r="E30" i="35"/>
  <c r="E31" i="35"/>
  <c r="E32" i="35"/>
  <c r="E33" i="35"/>
  <c r="E37" i="35"/>
  <c r="E38" i="35"/>
  <c r="C47" i="71" l="1"/>
  <c r="C23" i="71"/>
  <c r="C35" i="71"/>
  <c r="C11" i="71"/>
  <c r="E16" i="35"/>
  <c r="E16" i="39" s="1"/>
  <c r="E35" i="35"/>
  <c r="E24" i="38" s="1"/>
  <c r="E9" i="35"/>
  <c r="E17" i="40" s="1"/>
  <c r="E40" i="35"/>
  <c r="E42" i="35" s="1"/>
  <c r="E26" i="40" s="1"/>
  <c r="E18"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38" i="35"/>
  <c r="G38" i="35"/>
  <c r="H38" i="35"/>
  <c r="I38" i="35"/>
  <c r="J38" i="35"/>
  <c r="K38" i="35"/>
  <c r="L38" i="35"/>
  <c r="M38" i="35"/>
  <c r="N38" i="35"/>
  <c r="O38" i="35"/>
  <c r="P38" i="35"/>
  <c r="Q38" i="35"/>
  <c r="R38" i="35"/>
  <c r="S38" i="35"/>
  <c r="T38" i="35"/>
  <c r="U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40" i="35"/>
  <c r="W37" i="35"/>
  <c r="W40" i="35" s="1"/>
  <c r="X37" i="35"/>
  <c r="Y37" i="35"/>
  <c r="Y40" i="35" s="1"/>
  <c r="Z37" i="35"/>
  <c r="Z40" i="35" s="1"/>
  <c r="AA37" i="35"/>
  <c r="AA40" i="35" s="1"/>
  <c r="AA42" i="35" s="1"/>
  <c r="AA26" i="40" s="1"/>
  <c r="AB37" i="35"/>
  <c r="AB40" i="35" s="1"/>
  <c r="AC37" i="35"/>
  <c r="AC40" i="35" s="1"/>
  <c r="AD37" i="35"/>
  <c r="AD40" i="35" s="1"/>
  <c r="AE37" i="35"/>
  <c r="AE40" i="35" s="1"/>
  <c r="AF37" i="35"/>
  <c r="AF40" i="35" s="1"/>
  <c r="AG37" i="35"/>
  <c r="AG40" i="35" s="1"/>
  <c r="AH37" i="35"/>
  <c r="AH40" i="35" s="1"/>
  <c r="AI37" i="35"/>
  <c r="AI40" i="35" s="1"/>
  <c r="AI42" i="35" s="1"/>
  <c r="AI26" i="40" s="1"/>
  <c r="AJ37" i="35"/>
  <c r="AJ40" i="35" s="1"/>
  <c r="AJ42" i="35" s="1"/>
  <c r="AJ26" i="40" s="1"/>
  <c r="AK37" i="35"/>
  <c r="AL37" i="35"/>
  <c r="AL40" i="35" s="1"/>
  <c r="AM37" i="35"/>
  <c r="AM40" i="35" s="1"/>
  <c r="AN37" i="35"/>
  <c r="AN40" i="35" s="1"/>
  <c r="AO37" i="35"/>
  <c r="AO40" i="35" s="1"/>
  <c r="AP37" i="35"/>
  <c r="AP40" i="35" s="1"/>
  <c r="AQ37" i="35"/>
  <c r="AQ40" i="35" s="1"/>
  <c r="AR37" i="35"/>
  <c r="AR40" i="35" s="1"/>
  <c r="AS37" i="35"/>
  <c r="AS40" i="35" s="1"/>
  <c r="AT37" i="35"/>
  <c r="AT40" i="35" s="1"/>
  <c r="AU37" i="35"/>
  <c r="AU40" i="35" s="1"/>
  <c r="AV37" i="35"/>
  <c r="AV40" i="35" s="1"/>
  <c r="AW37" i="35"/>
  <c r="AW40" i="35" s="1"/>
  <c r="AX37" i="35"/>
  <c r="AX40" i="35" s="1"/>
  <c r="AX42" i="35" s="1"/>
  <c r="AX26" i="40" s="1"/>
  <c r="AY37" i="35"/>
  <c r="AY40" i="35" s="1"/>
  <c r="AY42" i="35" s="1"/>
  <c r="AY26" i="40" s="1"/>
  <c r="AZ37" i="35"/>
  <c r="AZ40" i="35" s="1"/>
  <c r="AZ42" i="35" s="1"/>
  <c r="AZ26" i="40" s="1"/>
  <c r="BA37" i="35"/>
  <c r="BA40" i="35" s="1"/>
  <c r="BB37" i="35"/>
  <c r="BB40" i="35" s="1"/>
  <c r="BC37" i="35"/>
  <c r="BC40" i="35" s="1"/>
  <c r="BC42" i="35" s="1"/>
  <c r="BC26" i="40" s="1"/>
  <c r="BD37" i="35"/>
  <c r="BD40" i="35" s="1"/>
  <c r="BE37" i="35"/>
  <c r="BE40" i="35" s="1"/>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H30" i="35"/>
  <c r="I30" i="35"/>
  <c r="J30" i="35"/>
  <c r="K30" i="35"/>
  <c r="L30" i="35"/>
  <c r="M30" i="35"/>
  <c r="N30" i="35"/>
  <c r="O30" i="35"/>
  <c r="P30" i="35"/>
  <c r="Q30" i="35"/>
  <c r="R30" i="35"/>
  <c r="S30" i="35"/>
  <c r="T30" i="35"/>
  <c r="U30" i="35"/>
  <c r="V30" i="35"/>
  <c r="W30" i="35"/>
  <c r="X30" i="35"/>
  <c r="Y30" i="35"/>
  <c r="Z30" i="35"/>
  <c r="AA30" i="35"/>
  <c r="AB30" i="35"/>
  <c r="AC30" i="35"/>
  <c r="AD30" i="35"/>
  <c r="AE30" i="35"/>
  <c r="AF30" i="35"/>
  <c r="AG30" i="35"/>
  <c r="AH30" i="35"/>
  <c r="AI30" i="35"/>
  <c r="AJ30" i="35"/>
  <c r="AK30" i="35"/>
  <c r="AL30" i="35"/>
  <c r="AM30" i="35"/>
  <c r="AN30" i="35"/>
  <c r="AO30" i="35"/>
  <c r="AP30" i="35"/>
  <c r="AQ30" i="35"/>
  <c r="AR30" i="35"/>
  <c r="AS30" i="35"/>
  <c r="AT30" i="35"/>
  <c r="AU30" i="35"/>
  <c r="AV30" i="35"/>
  <c r="AW30" i="35"/>
  <c r="AX30" i="35"/>
  <c r="AY30" i="35"/>
  <c r="AZ30" i="35"/>
  <c r="BA30" i="35"/>
  <c r="BB30" i="35"/>
  <c r="BC30" i="35"/>
  <c r="BD30" i="35"/>
  <c r="BE30" i="35"/>
  <c r="F29" i="35"/>
  <c r="G29" i="35"/>
  <c r="H29" i="35"/>
  <c r="I29" i="35"/>
  <c r="J29" i="35"/>
  <c r="K29" i="35"/>
  <c r="L29" i="35"/>
  <c r="M29" i="35"/>
  <c r="N29" i="35"/>
  <c r="O29" i="35"/>
  <c r="P29" i="35"/>
  <c r="Q29" i="35"/>
  <c r="R29" i="35"/>
  <c r="S29" i="35"/>
  <c r="T29" i="35"/>
  <c r="U29" i="35"/>
  <c r="V29" i="35"/>
  <c r="W29" i="35"/>
  <c r="X29" i="35"/>
  <c r="Y29" i="35"/>
  <c r="Z29" i="35"/>
  <c r="AA29" i="35"/>
  <c r="AB29" i="35"/>
  <c r="AC29" i="35"/>
  <c r="AD29" i="35"/>
  <c r="AE29" i="35"/>
  <c r="AF29" i="35"/>
  <c r="AG29" i="35"/>
  <c r="AH29" i="35"/>
  <c r="AI29" i="35"/>
  <c r="AJ29" i="35"/>
  <c r="AK29" i="35"/>
  <c r="AL29" i="35"/>
  <c r="AM29" i="35"/>
  <c r="AN29" i="35"/>
  <c r="AO29" i="35"/>
  <c r="AP29" i="35"/>
  <c r="AQ29" i="35"/>
  <c r="AR29" i="35"/>
  <c r="AS29" i="35"/>
  <c r="AT29" i="35"/>
  <c r="AU29" i="35"/>
  <c r="AV29" i="35"/>
  <c r="AW29" i="35"/>
  <c r="AX29" i="35"/>
  <c r="AY29" i="35"/>
  <c r="AZ29" i="35"/>
  <c r="BA29" i="35"/>
  <c r="BB29" i="35"/>
  <c r="BC29" i="35"/>
  <c r="BD29" i="35"/>
  <c r="BE29" i="35"/>
  <c r="F28" i="35"/>
  <c r="G28" i="35"/>
  <c r="H28" i="35"/>
  <c r="I28" i="35"/>
  <c r="J28" i="35"/>
  <c r="K28" i="35"/>
  <c r="L28" i="35"/>
  <c r="M28" i="35"/>
  <c r="N28" i="35"/>
  <c r="O28" i="35"/>
  <c r="P28" i="35"/>
  <c r="Q28" i="35"/>
  <c r="R28" i="35"/>
  <c r="S28" i="35"/>
  <c r="T28" i="35"/>
  <c r="U28" i="35"/>
  <c r="V28" i="35"/>
  <c r="W28" i="35"/>
  <c r="X28" i="35"/>
  <c r="Y28" i="35"/>
  <c r="Z28" i="35"/>
  <c r="AA28" i="35"/>
  <c r="AB28" i="35"/>
  <c r="AC28" i="35"/>
  <c r="AD28" i="35"/>
  <c r="AE28" i="35"/>
  <c r="AF28" i="35"/>
  <c r="AG28" i="35"/>
  <c r="AH28" i="35"/>
  <c r="AI28" i="35"/>
  <c r="AJ28" i="35"/>
  <c r="AK28" i="35"/>
  <c r="AL28" i="35"/>
  <c r="AM28" i="35"/>
  <c r="AN28" i="35"/>
  <c r="AO28" i="35"/>
  <c r="AP28" i="35"/>
  <c r="AQ28" i="35"/>
  <c r="AR28" i="35"/>
  <c r="AS28" i="35"/>
  <c r="AT28" i="35"/>
  <c r="AU28" i="35"/>
  <c r="AV28" i="35"/>
  <c r="AW28" i="35"/>
  <c r="AX28" i="35"/>
  <c r="AY28" i="35"/>
  <c r="AZ28" i="35"/>
  <c r="BA28" i="35"/>
  <c r="BB28" i="35"/>
  <c r="BC28" i="35"/>
  <c r="BD28" i="35"/>
  <c r="BE28" i="35"/>
  <c r="F27" i="35"/>
  <c r="G27" i="35"/>
  <c r="H27" i="35"/>
  <c r="I27" i="35"/>
  <c r="J27" i="35"/>
  <c r="K27" i="35"/>
  <c r="L27" i="35"/>
  <c r="M27" i="35"/>
  <c r="N27" i="35"/>
  <c r="O27" i="35"/>
  <c r="P27" i="35"/>
  <c r="Q27" i="35"/>
  <c r="R27" i="35"/>
  <c r="S27" i="35"/>
  <c r="T27" i="35"/>
  <c r="U27" i="35"/>
  <c r="V27" i="35"/>
  <c r="W27" i="35"/>
  <c r="X27" i="35"/>
  <c r="Y27" i="35"/>
  <c r="Z27" i="35"/>
  <c r="AA27" i="35"/>
  <c r="AB27" i="35"/>
  <c r="AC27" i="35"/>
  <c r="AD27" i="35"/>
  <c r="AE27" i="35"/>
  <c r="AF27" i="35"/>
  <c r="AG27" i="35"/>
  <c r="AH27" i="35"/>
  <c r="AI27" i="35"/>
  <c r="AJ27" i="35"/>
  <c r="AK27" i="35"/>
  <c r="AL27" i="35"/>
  <c r="AM27" i="35"/>
  <c r="AN27" i="35"/>
  <c r="AO27" i="35"/>
  <c r="AP27" i="35"/>
  <c r="AQ27" i="35"/>
  <c r="AR27" i="35"/>
  <c r="AS27" i="35"/>
  <c r="AT27" i="35"/>
  <c r="AU27" i="35"/>
  <c r="AV27" i="35"/>
  <c r="AW27" i="35"/>
  <c r="AX27" i="35"/>
  <c r="AY27" i="35"/>
  <c r="AZ27" i="35"/>
  <c r="BA27" i="35"/>
  <c r="BB27" i="35"/>
  <c r="BC27" i="35"/>
  <c r="BD27" i="35"/>
  <c r="BE27" i="35"/>
  <c r="F26" i="35"/>
  <c r="G26" i="35"/>
  <c r="H26" i="35"/>
  <c r="I26" i="35"/>
  <c r="J26" i="35"/>
  <c r="K26" i="35"/>
  <c r="L26" i="35"/>
  <c r="M26" i="35"/>
  <c r="N26" i="35"/>
  <c r="O26" i="35"/>
  <c r="P26" i="35"/>
  <c r="Q26" i="35"/>
  <c r="R26" i="35"/>
  <c r="S26" i="35"/>
  <c r="T26" i="35"/>
  <c r="U26" i="35"/>
  <c r="V26" i="35"/>
  <c r="W26" i="35"/>
  <c r="X26" i="35"/>
  <c r="Y26" i="35"/>
  <c r="Z26" i="35"/>
  <c r="AA26" i="35"/>
  <c r="AB26" i="35"/>
  <c r="AC26" i="35"/>
  <c r="AD26" i="35"/>
  <c r="AE26" i="35"/>
  <c r="AF26" i="35"/>
  <c r="AG26" i="35"/>
  <c r="AH26" i="35"/>
  <c r="AI26" i="35"/>
  <c r="AJ26" i="35"/>
  <c r="AK26" i="35"/>
  <c r="AL26" i="35"/>
  <c r="AM26" i="35"/>
  <c r="AN26" i="35"/>
  <c r="AO26" i="35"/>
  <c r="AP26" i="35"/>
  <c r="AQ26" i="35"/>
  <c r="AR26" i="35"/>
  <c r="AS26" i="35"/>
  <c r="AT26" i="35"/>
  <c r="AU26" i="35"/>
  <c r="AV26" i="35"/>
  <c r="AW26" i="35"/>
  <c r="AX26" i="35"/>
  <c r="AY26" i="35"/>
  <c r="AZ26" i="35"/>
  <c r="BA26" i="35"/>
  <c r="BB26" i="35"/>
  <c r="BC26" i="35"/>
  <c r="BD26" i="35"/>
  <c r="BE26" i="35"/>
  <c r="F25" i="35"/>
  <c r="G25" i="35"/>
  <c r="H25" i="35"/>
  <c r="I25" i="35"/>
  <c r="J25" i="35"/>
  <c r="K25" i="35"/>
  <c r="L25" i="35"/>
  <c r="M25" i="35"/>
  <c r="N25" i="35"/>
  <c r="O25" i="35"/>
  <c r="P25" i="35"/>
  <c r="Q25" i="35"/>
  <c r="R25" i="35"/>
  <c r="S25" i="35"/>
  <c r="T25" i="35"/>
  <c r="U25" i="35"/>
  <c r="V25" i="35"/>
  <c r="W25" i="35"/>
  <c r="X25" i="35"/>
  <c r="Y25" i="35"/>
  <c r="Z25" i="35"/>
  <c r="AA25" i="35"/>
  <c r="AB25" i="35"/>
  <c r="AC25" i="35"/>
  <c r="AD25" i="35"/>
  <c r="AE25" i="35"/>
  <c r="AF25" i="35"/>
  <c r="AG25" i="35"/>
  <c r="AH25" i="35"/>
  <c r="AI25" i="35"/>
  <c r="AJ25" i="35"/>
  <c r="AK25" i="35"/>
  <c r="AL25" i="35"/>
  <c r="AM25" i="35"/>
  <c r="AN25" i="35"/>
  <c r="AO25" i="35"/>
  <c r="AP25" i="35"/>
  <c r="AQ25" i="35"/>
  <c r="AR25" i="35"/>
  <c r="AS25" i="35"/>
  <c r="AT25" i="35"/>
  <c r="AU25" i="35"/>
  <c r="AV25" i="35"/>
  <c r="AW25" i="35"/>
  <c r="AX25" i="35"/>
  <c r="AY25" i="35"/>
  <c r="AZ25" i="35"/>
  <c r="BA25" i="35"/>
  <c r="BB25" i="35"/>
  <c r="BC25" i="35"/>
  <c r="BD25" i="35"/>
  <c r="BE25" i="35"/>
  <c r="F24" i="35"/>
  <c r="G24" i="35"/>
  <c r="G35" i="35" s="1"/>
  <c r="H24" i="35"/>
  <c r="H35" i="35" s="1"/>
  <c r="I24" i="35"/>
  <c r="I35" i="35" s="1"/>
  <c r="J24" i="35"/>
  <c r="J35" i="35" s="1"/>
  <c r="K24" i="35"/>
  <c r="K35" i="35" s="1"/>
  <c r="L24" i="35"/>
  <c r="L35" i="35" s="1"/>
  <c r="M24" i="35"/>
  <c r="M35" i="35" s="1"/>
  <c r="N24" i="35"/>
  <c r="N35" i="35" s="1"/>
  <c r="O24" i="35"/>
  <c r="O35" i="35" s="1"/>
  <c r="P24" i="35"/>
  <c r="P35" i="35" s="1"/>
  <c r="Q24" i="35"/>
  <c r="Q35" i="35" s="1"/>
  <c r="R24" i="35"/>
  <c r="R35" i="35" s="1"/>
  <c r="S24" i="35"/>
  <c r="S35" i="35" s="1"/>
  <c r="T24" i="35"/>
  <c r="T35" i="35" s="1"/>
  <c r="U24" i="35"/>
  <c r="U35" i="35" s="1"/>
  <c r="V24" i="35"/>
  <c r="V35" i="35" s="1"/>
  <c r="W24" i="35"/>
  <c r="W35" i="35" s="1"/>
  <c r="X24" i="35"/>
  <c r="Y24" i="35"/>
  <c r="Y35" i="35" s="1"/>
  <c r="Z24" i="35"/>
  <c r="Z35" i="35" s="1"/>
  <c r="AA24" i="35"/>
  <c r="AA35" i="35" s="1"/>
  <c r="AB24" i="35"/>
  <c r="AB35" i="35" s="1"/>
  <c r="AC24" i="35"/>
  <c r="AC35" i="35" s="1"/>
  <c r="AD24" i="35"/>
  <c r="AD35" i="35" s="1"/>
  <c r="AE24" i="35"/>
  <c r="AE35" i="35" s="1"/>
  <c r="AF24" i="35"/>
  <c r="AF35" i="35" s="1"/>
  <c r="AG24" i="35"/>
  <c r="AG35" i="35" s="1"/>
  <c r="AH24" i="35"/>
  <c r="AH35" i="35" s="1"/>
  <c r="AI24" i="35"/>
  <c r="AI35" i="35" s="1"/>
  <c r="AJ24" i="35"/>
  <c r="AJ35" i="35" s="1"/>
  <c r="AK24" i="35"/>
  <c r="AL24" i="35"/>
  <c r="AL35" i="35" s="1"/>
  <c r="AM24" i="35"/>
  <c r="AM35" i="35" s="1"/>
  <c r="AN24" i="35"/>
  <c r="AN35" i="35" s="1"/>
  <c r="AO24" i="35"/>
  <c r="AO35" i="35" s="1"/>
  <c r="AP24" i="35"/>
  <c r="AP35" i="35" s="1"/>
  <c r="AQ24" i="35"/>
  <c r="AQ35" i="35" s="1"/>
  <c r="AR24" i="35"/>
  <c r="AR35" i="35" s="1"/>
  <c r="AS24" i="35"/>
  <c r="AS35" i="35" s="1"/>
  <c r="AT24" i="35"/>
  <c r="AT35" i="35" s="1"/>
  <c r="AU24" i="35"/>
  <c r="AU35" i="35" s="1"/>
  <c r="AV24" i="35"/>
  <c r="AV35" i="35" s="1"/>
  <c r="AW24" i="35"/>
  <c r="AW35" i="35" s="1"/>
  <c r="AX24" i="35"/>
  <c r="AX35" i="35" s="1"/>
  <c r="AY24" i="35"/>
  <c r="AY35" i="35" s="1"/>
  <c r="AZ24" i="35"/>
  <c r="AZ35" i="35" s="1"/>
  <c r="BA24" i="35"/>
  <c r="BA35" i="35" s="1"/>
  <c r="BB24" i="35"/>
  <c r="BB35" i="35" s="1"/>
  <c r="BC24" i="35"/>
  <c r="BC35" i="35" s="1"/>
  <c r="BD24" i="35"/>
  <c r="BD35" i="35" s="1"/>
  <c r="BE24" i="35"/>
  <c r="BE35" i="35" s="1"/>
  <c r="F14" i="35"/>
  <c r="G14" i="35"/>
  <c r="H14" i="35"/>
  <c r="I14" i="35"/>
  <c r="J14" i="35"/>
  <c r="K14" i="35"/>
  <c r="L14" i="35"/>
  <c r="M14" i="35"/>
  <c r="N14" i="35"/>
  <c r="O14" i="35"/>
  <c r="P14" i="35"/>
  <c r="Q14" i="35"/>
  <c r="R14" i="35"/>
  <c r="S14" i="35"/>
  <c r="T14" i="35"/>
  <c r="U14" i="35"/>
  <c r="V14" i="35"/>
  <c r="W14" i="35"/>
  <c r="X14" i="35"/>
  <c r="Y14" i="35"/>
  <c r="Z14" i="35"/>
  <c r="AA14" i="35"/>
  <c r="AB14" i="35"/>
  <c r="AC14" i="35"/>
  <c r="AD14" i="35"/>
  <c r="AE14" i="35"/>
  <c r="AF14" i="35"/>
  <c r="AG14" i="35"/>
  <c r="AH14" i="35"/>
  <c r="AI14" i="35"/>
  <c r="AJ14" i="35"/>
  <c r="AK14" i="35"/>
  <c r="AL14" i="35"/>
  <c r="AM14" i="35"/>
  <c r="AN14" i="35"/>
  <c r="AO14" i="35"/>
  <c r="AP14" i="35"/>
  <c r="AQ14" i="35"/>
  <c r="AR14" i="35"/>
  <c r="AS14" i="35"/>
  <c r="AT14" i="35"/>
  <c r="AU14" i="35"/>
  <c r="AV14" i="35"/>
  <c r="AW14" i="35"/>
  <c r="AX14" i="35"/>
  <c r="AY14" i="35"/>
  <c r="AZ14" i="35"/>
  <c r="BA14" i="35"/>
  <c r="BB14" i="35"/>
  <c r="BC14" i="35"/>
  <c r="BD14" i="35"/>
  <c r="BE14" i="35"/>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H12" i="35"/>
  <c r="I12" i="35"/>
  <c r="J12" i="35"/>
  <c r="K12" i="35"/>
  <c r="L12" i="35"/>
  <c r="M12" i="35"/>
  <c r="N12" i="35"/>
  <c r="O12" i="35"/>
  <c r="P12" i="35"/>
  <c r="Q12" i="35"/>
  <c r="R12" i="35"/>
  <c r="S12" i="35"/>
  <c r="T12" i="35"/>
  <c r="U12" i="35"/>
  <c r="V12" i="35"/>
  <c r="W12" i="35"/>
  <c r="X12" i="35"/>
  <c r="Y12" i="35"/>
  <c r="Z12" i="35"/>
  <c r="AA12" i="35"/>
  <c r="AB12" i="35"/>
  <c r="AC12" i="35"/>
  <c r="AD12" i="35"/>
  <c r="AE12" i="35"/>
  <c r="AF12" i="35"/>
  <c r="AG12" i="35"/>
  <c r="AH12" i="35"/>
  <c r="AI12" i="35"/>
  <c r="AJ12" i="35"/>
  <c r="AK12" i="35"/>
  <c r="AL12" i="35"/>
  <c r="AM12" i="35"/>
  <c r="AN12" i="35"/>
  <c r="AO12" i="35"/>
  <c r="AP12" i="35"/>
  <c r="AQ12" i="35"/>
  <c r="AR12" i="35"/>
  <c r="AS12" i="35"/>
  <c r="AT12" i="35"/>
  <c r="AU12" i="35"/>
  <c r="AV12" i="35"/>
  <c r="AW12" i="35"/>
  <c r="AX12" i="35"/>
  <c r="AY12" i="35"/>
  <c r="AZ12" i="35"/>
  <c r="BA12" i="35"/>
  <c r="BB12" i="35"/>
  <c r="BC12" i="35"/>
  <c r="BD12" i="35"/>
  <c r="BE12" i="35"/>
  <c r="F11" i="35"/>
  <c r="G11" i="35"/>
  <c r="G16" i="35" s="1"/>
  <c r="H11" i="35"/>
  <c r="H16" i="35" s="1"/>
  <c r="I11" i="35"/>
  <c r="I16" i="35" s="1"/>
  <c r="J11" i="35"/>
  <c r="J16" i="35" s="1"/>
  <c r="K11" i="35"/>
  <c r="K16" i="35" s="1"/>
  <c r="L11" i="35"/>
  <c r="L16" i="35" s="1"/>
  <c r="M11" i="35"/>
  <c r="N11" i="35"/>
  <c r="N16" i="35" s="1"/>
  <c r="O11" i="35"/>
  <c r="O16" i="35" s="1"/>
  <c r="P11" i="35"/>
  <c r="P16" i="35" s="1"/>
  <c r="Q11" i="35"/>
  <c r="Q16" i="35" s="1"/>
  <c r="R11" i="35"/>
  <c r="R16" i="35" s="1"/>
  <c r="S11" i="35"/>
  <c r="S16" i="35" s="1"/>
  <c r="T11" i="35"/>
  <c r="T16" i="35" s="1"/>
  <c r="U11" i="35"/>
  <c r="V11" i="35"/>
  <c r="V16" i="35" s="1"/>
  <c r="W11" i="35"/>
  <c r="W16" i="35" s="1"/>
  <c r="X11" i="35"/>
  <c r="Y11" i="35"/>
  <c r="Y16" i="35" s="1"/>
  <c r="Z11" i="35"/>
  <c r="Z16" i="35" s="1"/>
  <c r="AA11" i="35"/>
  <c r="AA16" i="35" s="1"/>
  <c r="AB11" i="35"/>
  <c r="AB16" i="35" s="1"/>
  <c r="AC11" i="35"/>
  <c r="AD11" i="35"/>
  <c r="AD16" i="35" s="1"/>
  <c r="AE11" i="35"/>
  <c r="AE16" i="35" s="1"/>
  <c r="AF11" i="35"/>
  <c r="AF16" i="35" s="1"/>
  <c r="AG11" i="35"/>
  <c r="AG16" i="35" s="1"/>
  <c r="AH11" i="35"/>
  <c r="AH16" i="35" s="1"/>
  <c r="AI11" i="35"/>
  <c r="AI16" i="35" s="1"/>
  <c r="AJ11" i="35"/>
  <c r="AJ16" i="35" s="1"/>
  <c r="AK11" i="35"/>
  <c r="AK16" i="35" s="1"/>
  <c r="AL11" i="35"/>
  <c r="AL16" i="35" s="1"/>
  <c r="AM11" i="35"/>
  <c r="AM16" i="35" s="1"/>
  <c r="AN11" i="35"/>
  <c r="AN16" i="35" s="1"/>
  <c r="AO11" i="35"/>
  <c r="AO16" i="35" s="1"/>
  <c r="AP11" i="35"/>
  <c r="AP16" i="35" s="1"/>
  <c r="AQ11" i="35"/>
  <c r="AQ16" i="35" s="1"/>
  <c r="AR11" i="35"/>
  <c r="AR16" i="35" s="1"/>
  <c r="AS11" i="35"/>
  <c r="AT11" i="35"/>
  <c r="AT16" i="35" s="1"/>
  <c r="AU11" i="35"/>
  <c r="AU16" i="35" s="1"/>
  <c r="AV11" i="35"/>
  <c r="AV16" i="35" s="1"/>
  <c r="AW11" i="35"/>
  <c r="AW16" i="35" s="1"/>
  <c r="AX11" i="35"/>
  <c r="AX16" i="35" s="1"/>
  <c r="AY11" i="35"/>
  <c r="AY16" i="35" s="1"/>
  <c r="AZ11" i="35"/>
  <c r="AZ16" i="35" s="1"/>
  <c r="BA11" i="35"/>
  <c r="BB11" i="35"/>
  <c r="BB16" i="35" s="1"/>
  <c r="BC11" i="35"/>
  <c r="BC16" i="35" s="1"/>
  <c r="BD11" i="35"/>
  <c r="BD16" i="35" s="1"/>
  <c r="BE11" i="35"/>
  <c r="BE16" i="35" s="1"/>
  <c r="F7" i="35"/>
  <c r="G7" i="35"/>
  <c r="H7" i="35"/>
  <c r="I7" i="35"/>
  <c r="J7" i="35"/>
  <c r="K7" i="35"/>
  <c r="L7" i="35"/>
  <c r="M7" i="35"/>
  <c r="N7" i="35"/>
  <c r="O7" i="35"/>
  <c r="P7" i="35"/>
  <c r="Q7" i="35"/>
  <c r="R7" i="35"/>
  <c r="S7" i="35"/>
  <c r="T7" i="35"/>
  <c r="U7" i="35"/>
  <c r="V7" i="35"/>
  <c r="W7" i="35"/>
  <c r="X7" i="35"/>
  <c r="Y7" i="35"/>
  <c r="Z7" i="35"/>
  <c r="AA7" i="35"/>
  <c r="AB7" i="35"/>
  <c r="AC7" i="35"/>
  <c r="AD7" i="35"/>
  <c r="AE7" i="35"/>
  <c r="AF7" i="35"/>
  <c r="AG7" i="35"/>
  <c r="AH7" i="35"/>
  <c r="AI7" i="35"/>
  <c r="AJ7" i="35"/>
  <c r="AK7" i="35"/>
  <c r="AL7" i="35"/>
  <c r="AM7" i="35"/>
  <c r="AN7" i="35"/>
  <c r="AO7" i="35"/>
  <c r="AP7" i="35"/>
  <c r="AQ7" i="35"/>
  <c r="AR7" i="35"/>
  <c r="AS7" i="35"/>
  <c r="AT7" i="35"/>
  <c r="AU7" i="35"/>
  <c r="AV7" i="35"/>
  <c r="AW7" i="35"/>
  <c r="AX7" i="35"/>
  <c r="AY7" i="35"/>
  <c r="AZ7" i="35"/>
  <c r="BA7" i="35"/>
  <c r="BB7" i="35"/>
  <c r="BC7" i="35"/>
  <c r="BD7" i="35"/>
  <c r="BE7" i="35"/>
  <c r="F6" i="35"/>
  <c r="G6" i="35"/>
  <c r="G9" i="35" s="1"/>
  <c r="G17" i="40" s="1"/>
  <c r="H6" i="35"/>
  <c r="H9" i="35" s="1"/>
  <c r="H17" i="40" s="1"/>
  <c r="I6" i="35"/>
  <c r="J6" i="35"/>
  <c r="J9" i="35" s="1"/>
  <c r="J17" i="40" s="1"/>
  <c r="K6" i="35"/>
  <c r="K9" i="35" s="1"/>
  <c r="K17" i="40" s="1"/>
  <c r="L6" i="35"/>
  <c r="L9" i="35" s="1"/>
  <c r="L17" i="40" s="1"/>
  <c r="M6" i="35"/>
  <c r="M9" i="35" s="1"/>
  <c r="M17" i="40" s="1"/>
  <c r="N6" i="35"/>
  <c r="N9" i="35" s="1"/>
  <c r="N17" i="40" s="1"/>
  <c r="O6" i="35"/>
  <c r="O9" i="35" s="1"/>
  <c r="O17" i="40" s="1"/>
  <c r="P6" i="35"/>
  <c r="P9" i="35" s="1"/>
  <c r="P17" i="40" s="1"/>
  <c r="Q6" i="35"/>
  <c r="Q9" i="35" s="1"/>
  <c r="Q17" i="40" s="1"/>
  <c r="R6" i="35"/>
  <c r="R9" i="35" s="1"/>
  <c r="R17" i="40" s="1"/>
  <c r="S6" i="35"/>
  <c r="S9" i="35" s="1"/>
  <c r="S17" i="40" s="1"/>
  <c r="T6" i="35"/>
  <c r="T9" i="35" s="1"/>
  <c r="T17" i="40" s="1"/>
  <c r="U6" i="35"/>
  <c r="U9" i="35" s="1"/>
  <c r="U17" i="40" s="1"/>
  <c r="V6" i="35"/>
  <c r="V9" i="35" s="1"/>
  <c r="V17" i="40" s="1"/>
  <c r="W6" i="35"/>
  <c r="W9" i="35" s="1"/>
  <c r="W17" i="40" s="1"/>
  <c r="X6" i="35"/>
  <c r="Y6" i="35"/>
  <c r="Y9" i="35" s="1"/>
  <c r="Y17" i="40" s="1"/>
  <c r="Z6" i="35"/>
  <c r="Z9" i="35" s="1"/>
  <c r="Z17" i="40" s="1"/>
  <c r="AA6" i="35"/>
  <c r="AA9" i="35" s="1"/>
  <c r="AA17" i="40" s="1"/>
  <c r="AB6" i="35"/>
  <c r="AB9" i="35" s="1"/>
  <c r="AB17" i="40" s="1"/>
  <c r="AC6" i="35"/>
  <c r="AC9" i="35" s="1"/>
  <c r="AC17" i="40" s="1"/>
  <c r="AD6" i="35"/>
  <c r="AD9" i="35" s="1"/>
  <c r="AD17" i="40" s="1"/>
  <c r="AE6" i="35"/>
  <c r="AE9" i="35" s="1"/>
  <c r="AE17" i="40" s="1"/>
  <c r="AF6" i="35"/>
  <c r="AF9" i="35" s="1"/>
  <c r="AF17" i="40" s="1"/>
  <c r="AG6" i="35"/>
  <c r="AG9" i="35" s="1"/>
  <c r="AG17" i="40" s="1"/>
  <c r="AH6" i="35"/>
  <c r="AH9" i="35" s="1"/>
  <c r="AH17" i="40" s="1"/>
  <c r="AI6" i="35"/>
  <c r="AI9" i="35" s="1"/>
  <c r="AI17" i="40" s="1"/>
  <c r="AJ6" i="35"/>
  <c r="AJ9" i="35" s="1"/>
  <c r="AJ17" i="40" s="1"/>
  <c r="AK6" i="35"/>
  <c r="AL6" i="35"/>
  <c r="AL9" i="35" s="1"/>
  <c r="AL17" i="40" s="1"/>
  <c r="AM6" i="35"/>
  <c r="AM9" i="35" s="1"/>
  <c r="AM17" i="40" s="1"/>
  <c r="AN6" i="35"/>
  <c r="AN9" i="35" s="1"/>
  <c r="AN17" i="40" s="1"/>
  <c r="AO6" i="35"/>
  <c r="AO9" i="35" s="1"/>
  <c r="AO17" i="40" s="1"/>
  <c r="AP6" i="35"/>
  <c r="AP9" i="35" s="1"/>
  <c r="AP17" i="40" s="1"/>
  <c r="AQ6" i="35"/>
  <c r="AQ9" i="35" s="1"/>
  <c r="AQ17" i="40" s="1"/>
  <c r="AR6" i="35"/>
  <c r="AR9" i="35" s="1"/>
  <c r="AR17" i="40" s="1"/>
  <c r="AS6" i="35"/>
  <c r="AS9" i="35" s="1"/>
  <c r="AS17" i="40" s="1"/>
  <c r="AT6" i="35"/>
  <c r="AT9" i="35" s="1"/>
  <c r="AT17" i="40" s="1"/>
  <c r="AU6" i="35"/>
  <c r="AU9" i="35" s="1"/>
  <c r="AU17" i="40" s="1"/>
  <c r="AV6" i="35"/>
  <c r="AV9" i="35" s="1"/>
  <c r="AV17" i="40" s="1"/>
  <c r="AW6" i="35"/>
  <c r="AW9" i="35" s="1"/>
  <c r="AW17" i="40" s="1"/>
  <c r="AX6" i="35"/>
  <c r="AX9" i="35" s="1"/>
  <c r="AX17" i="40" s="1"/>
  <c r="AY6" i="35"/>
  <c r="AY9" i="35" s="1"/>
  <c r="AY17" i="40" s="1"/>
  <c r="AZ6" i="35"/>
  <c r="AZ9" i="35" s="1"/>
  <c r="AZ17" i="40" s="1"/>
  <c r="BA6" i="35"/>
  <c r="BA9" i="35" s="1"/>
  <c r="BA17" i="40" s="1"/>
  <c r="BB6" i="35"/>
  <c r="BB9" i="35" s="1"/>
  <c r="BB17" i="40" s="1"/>
  <c r="BC6" i="35"/>
  <c r="BC9" i="35" s="1"/>
  <c r="BC17" i="40" s="1"/>
  <c r="BD6" i="35"/>
  <c r="BD9" i="35" s="1"/>
  <c r="BD17" i="40" s="1"/>
  <c r="BE6" i="35"/>
  <c r="BE9"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0" i="35"/>
  <c r="U42" i="35" s="1"/>
  <c r="U26" i="40" s="1"/>
  <c r="S40" i="35"/>
  <c r="S42" i="35" s="1"/>
  <c r="S26" i="40" s="1"/>
  <c r="Q40" i="35"/>
  <c r="O40" i="35"/>
  <c r="O42" i="35" s="1"/>
  <c r="O26" i="40" s="1"/>
  <c r="BF15" i="38"/>
  <c r="Q43" i="37"/>
  <c r="Q35" i="40" s="1"/>
  <c r="AW43" i="37"/>
  <c r="AW35" i="40" s="1"/>
  <c r="F43" i="37"/>
  <c r="F35" i="40" s="1"/>
  <c r="V43" i="37"/>
  <c r="V35" i="40" s="1"/>
  <c r="Z43" i="37"/>
  <c r="Z35" i="40" s="1"/>
  <c r="D44" i="43"/>
  <c r="D32" i="43"/>
  <c r="M40" i="35"/>
  <c r="K40" i="35"/>
  <c r="I40" i="35"/>
  <c r="I42" i="35" s="1"/>
  <c r="I26" i="40" s="1"/>
  <c r="G40" i="35"/>
  <c r="G42" i="35" s="1"/>
  <c r="G26" i="40" s="1"/>
  <c r="BD42" i="35"/>
  <c r="BD26" i="40" s="1"/>
  <c r="BB42" i="35"/>
  <c r="BB26" i="40" s="1"/>
  <c r="AV42" i="35"/>
  <c r="AV26" i="40" s="1"/>
  <c r="AT42" i="35"/>
  <c r="AT26" i="40" s="1"/>
  <c r="AR42" i="35"/>
  <c r="AR26" i="40" s="1"/>
  <c r="AN42" i="35"/>
  <c r="AN26" i="40" s="1"/>
  <c r="AL42" i="35"/>
  <c r="AL26" i="40" s="1"/>
  <c r="AH42" i="35"/>
  <c r="AH26" i="40" s="1"/>
  <c r="AF42" i="35"/>
  <c r="AF26" i="40" s="1"/>
  <c r="T40" i="35"/>
  <c r="T42" i="35" s="1"/>
  <c r="T26" i="40" s="1"/>
  <c r="R40" i="35"/>
  <c r="P40" i="35"/>
  <c r="P42" i="35" s="1"/>
  <c r="P26" i="40" s="1"/>
  <c r="N40" i="35"/>
  <c r="N42" i="35" s="1"/>
  <c r="N26" i="40" s="1"/>
  <c r="L40" i="35"/>
  <c r="L42" i="35" s="1"/>
  <c r="L26" i="40" s="1"/>
  <c r="J40" i="35"/>
  <c r="J42" i="35" s="1"/>
  <c r="J26" i="40" s="1"/>
  <c r="H40" i="35"/>
  <c r="H42" i="35" s="1"/>
  <c r="H26" i="40" s="1"/>
  <c r="AA40" i="36"/>
  <c r="AA31" i="40" s="1"/>
  <c r="BE42" i="35"/>
  <c r="BE26" i="40" s="1"/>
  <c r="BA42" i="35"/>
  <c r="BA26" i="40" s="1"/>
  <c r="AW42" i="35"/>
  <c r="AW26" i="40" s="1"/>
  <c r="AU42" i="35"/>
  <c r="AU26" i="40" s="1"/>
  <c r="AS42" i="35"/>
  <c r="AS26" i="40" s="1"/>
  <c r="AQ42" i="35"/>
  <c r="AQ26" i="40" s="1"/>
  <c r="AO42" i="35"/>
  <c r="AO26" i="40" s="1"/>
  <c r="AM42" i="35"/>
  <c r="AM26" i="40" s="1"/>
  <c r="AG42" i="35"/>
  <c r="AG26" i="40" s="1"/>
  <c r="AC42" i="35"/>
  <c r="AC26" i="40" s="1"/>
  <c r="Y42" i="35"/>
  <c r="Y26" i="40" s="1"/>
  <c r="W42" i="35"/>
  <c r="W26" i="40" s="1"/>
  <c r="K42" i="35"/>
  <c r="K26" i="40" s="1"/>
  <c r="H43" i="37"/>
  <c r="H35" i="40" s="1"/>
  <c r="AJ43" i="37"/>
  <c r="AJ35" i="40" s="1"/>
  <c r="AR43" i="37"/>
  <c r="AR35" i="40" s="1"/>
  <c r="AZ43" i="37"/>
  <c r="AZ35" i="40" s="1"/>
  <c r="AT43" i="37"/>
  <c r="AT35" i="40" s="1"/>
  <c r="R42" i="35"/>
  <c r="R26" i="40" s="1"/>
  <c r="AX43" i="37"/>
  <c r="AX35" i="40" s="1"/>
  <c r="Q42" i="35"/>
  <c r="Q26" i="40" s="1"/>
  <c r="AP42" i="35"/>
  <c r="AP26" i="40" s="1"/>
  <c r="AB42" i="35"/>
  <c r="AB26" i="40" s="1"/>
  <c r="AE42" i="35"/>
  <c r="AE26" i="40" s="1"/>
  <c r="V42" i="35"/>
  <c r="V26" i="40" s="1"/>
  <c r="T43" i="37"/>
  <c r="T35" i="40" s="1"/>
  <c r="BB43" i="37"/>
  <c r="BB35" i="40" s="1"/>
  <c r="AV43" i="37"/>
  <c r="AV35" i="40" s="1"/>
  <c r="AS16"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16" i="35"/>
  <c r="AC16" i="39" s="1"/>
  <c r="AC18" i="39" s="1"/>
  <c r="AC43" i="40" s="1"/>
  <c r="AA43" i="37"/>
  <c r="AA35" i="40" s="1"/>
  <c r="U16" i="35"/>
  <c r="U16" i="39" s="1"/>
  <c r="U18" i="39" s="1"/>
  <c r="U43" i="40" s="1"/>
  <c r="AU43" i="37"/>
  <c r="AU35" i="40" s="1"/>
  <c r="AD42" i="35"/>
  <c r="AD26" i="40" s="1"/>
  <c r="AD43" i="37"/>
  <c r="AD35" i="40" s="1"/>
  <c r="P43" i="37"/>
  <c r="P35" i="40" s="1"/>
  <c r="G43" i="37"/>
  <c r="G35" i="40" s="1"/>
  <c r="I9" i="35"/>
  <c r="I17" i="40" s="1"/>
  <c r="BD43" i="37"/>
  <c r="BD35" i="40" s="1"/>
  <c r="L43" i="37"/>
  <c r="L35" i="40" s="1"/>
  <c r="M42" i="35"/>
  <c r="M26" i="40" s="1"/>
  <c r="M16" i="35"/>
  <c r="M16" i="39" s="1"/>
  <c r="M18" i="39" s="1"/>
  <c r="M43" i="40" s="1"/>
  <c r="Z42" i="35"/>
  <c r="Z26" i="40" s="1"/>
  <c r="BA16" i="35"/>
  <c r="BA16" i="39" s="1"/>
  <c r="BA18" i="39" s="1"/>
  <c r="BA43" i="40" s="1"/>
  <c r="BH39" i="37"/>
  <c r="O43" i="37"/>
  <c r="O35" i="40" s="1"/>
  <c r="BE16" i="39"/>
  <c r="BE18" i="39" s="1"/>
  <c r="BE43" i="40" s="1"/>
  <c r="BE18" i="35"/>
  <c r="BE19" i="40" s="1"/>
  <c r="AW16" i="39"/>
  <c r="AW18" i="39" s="1"/>
  <c r="AW43" i="40" s="1"/>
  <c r="AW18" i="35"/>
  <c r="AW19" i="40" s="1"/>
  <c r="AO16" i="39"/>
  <c r="AO18" i="39" s="1"/>
  <c r="AO43" i="40" s="1"/>
  <c r="AO18" i="35"/>
  <c r="AO19" i="40" s="1"/>
  <c r="AG16" i="39"/>
  <c r="AG18" i="39" s="1"/>
  <c r="AG43" i="40" s="1"/>
  <c r="AG18" i="35"/>
  <c r="AG19" i="40" s="1"/>
  <c r="Y16" i="39"/>
  <c r="Y18" i="39" s="1"/>
  <c r="Y43" i="40" s="1"/>
  <c r="Y18" i="35"/>
  <c r="Y19" i="40" s="1"/>
  <c r="Q16" i="39"/>
  <c r="Q18" i="39" s="1"/>
  <c r="Q43" i="40" s="1"/>
  <c r="Q18" i="35"/>
  <c r="Q19" i="40" s="1"/>
  <c r="I16" i="39"/>
  <c r="I18" i="39" s="1"/>
  <c r="I43" i="40" s="1"/>
  <c r="BG6" i="35"/>
  <c r="BF6" i="35"/>
  <c r="F9" i="35"/>
  <c r="BG7" i="35"/>
  <c r="BF7" i="35"/>
  <c r="AK16" i="39"/>
  <c r="X9" i="35"/>
  <c r="BC16" i="39"/>
  <c r="BC18" i="39" s="1"/>
  <c r="BC43" i="40" s="1"/>
  <c r="BC18" i="35"/>
  <c r="BC19" i="40" s="1"/>
  <c r="AY16" i="39"/>
  <c r="AY18" i="39" s="1"/>
  <c r="AY43" i="40" s="1"/>
  <c r="AY18" i="35"/>
  <c r="AY19" i="40" s="1"/>
  <c r="AU16" i="39"/>
  <c r="AU18" i="39" s="1"/>
  <c r="AU43" i="40" s="1"/>
  <c r="AU18" i="35"/>
  <c r="AU19" i="40" s="1"/>
  <c r="AQ16" i="39"/>
  <c r="AQ18" i="39" s="1"/>
  <c r="AQ43" i="40" s="1"/>
  <c r="AQ18" i="35"/>
  <c r="AQ19" i="40" s="1"/>
  <c r="AM16" i="39"/>
  <c r="AM18" i="39" s="1"/>
  <c r="AM43" i="40" s="1"/>
  <c r="AM18" i="35"/>
  <c r="AM19" i="40" s="1"/>
  <c r="BH11" i="35"/>
  <c r="AI16" i="39"/>
  <c r="AI18" i="39" s="1"/>
  <c r="AI43" i="40" s="1"/>
  <c r="AI18" i="35"/>
  <c r="AI19" i="40" s="1"/>
  <c r="AE16" i="39"/>
  <c r="AE18" i="39" s="1"/>
  <c r="AE43" i="40" s="1"/>
  <c r="AE18" i="35"/>
  <c r="AE19" i="40" s="1"/>
  <c r="AA16" i="39"/>
  <c r="AA18" i="39" s="1"/>
  <c r="AA43" i="40" s="1"/>
  <c r="AA18" i="35"/>
  <c r="AA19" i="40" s="1"/>
  <c r="W16" i="39"/>
  <c r="W18" i="39" s="1"/>
  <c r="W43" i="40" s="1"/>
  <c r="W18" i="35"/>
  <c r="W19" i="40" s="1"/>
  <c r="S16" i="39"/>
  <c r="S18" i="39" s="1"/>
  <c r="S43" i="40" s="1"/>
  <c r="S18" i="35"/>
  <c r="S19" i="40" s="1"/>
  <c r="O16" i="39"/>
  <c r="O18" i="39" s="1"/>
  <c r="O43" i="40" s="1"/>
  <c r="O18" i="35"/>
  <c r="O19" i="40" s="1"/>
  <c r="K16" i="39"/>
  <c r="K18" i="39" s="1"/>
  <c r="K43" i="40" s="1"/>
  <c r="K18" i="35"/>
  <c r="K19" i="40" s="1"/>
  <c r="G16" i="39"/>
  <c r="G18" i="39" s="1"/>
  <c r="G43" i="40" s="1"/>
  <c r="G18" i="35"/>
  <c r="G19" i="40" s="1"/>
  <c r="BH12" i="35"/>
  <c r="BH13" i="35"/>
  <c r="BH14" i="35"/>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24" i="35"/>
  <c r="BH25" i="35"/>
  <c r="BH26" i="35"/>
  <c r="BH27" i="35"/>
  <c r="BH28" i="35"/>
  <c r="BH29" i="35"/>
  <c r="BH30" i="35"/>
  <c r="BH31" i="35"/>
  <c r="BH32" i="35"/>
  <c r="BH33" i="35"/>
  <c r="AK35" i="35"/>
  <c r="BH37" i="35"/>
  <c r="BH38" i="35"/>
  <c r="AK40" i="35"/>
  <c r="BH6" i="35"/>
  <c r="BH7" i="35"/>
  <c r="AK9" i="35"/>
  <c r="AK18" i="35" s="1"/>
  <c r="AK19" i="40" s="1"/>
  <c r="BD16" i="39"/>
  <c r="BD18" i="39" s="1"/>
  <c r="BD43" i="40" s="1"/>
  <c r="BD18" i="35"/>
  <c r="BD19" i="40" s="1"/>
  <c r="BB16" i="39"/>
  <c r="BB18" i="39" s="1"/>
  <c r="BB43" i="40" s="1"/>
  <c r="BB18" i="35"/>
  <c r="BB19" i="40" s="1"/>
  <c r="AZ16" i="39"/>
  <c r="AZ18" i="39" s="1"/>
  <c r="AZ43" i="40" s="1"/>
  <c r="AZ18" i="35"/>
  <c r="AZ19" i="40" s="1"/>
  <c r="AX16" i="39"/>
  <c r="AX18" i="39" s="1"/>
  <c r="AX43" i="40" s="1"/>
  <c r="AX18" i="35"/>
  <c r="AX19" i="40" s="1"/>
  <c r="AV16" i="39"/>
  <c r="AV18" i="39" s="1"/>
  <c r="AV43" i="40" s="1"/>
  <c r="AV18" i="35"/>
  <c r="AV19" i="40" s="1"/>
  <c r="AT16" i="39"/>
  <c r="AT18" i="39" s="1"/>
  <c r="AT43" i="40" s="1"/>
  <c r="AT18" i="35"/>
  <c r="AT19" i="40" s="1"/>
  <c r="AR16" i="39"/>
  <c r="AR18" i="39" s="1"/>
  <c r="AR43" i="40" s="1"/>
  <c r="AR18" i="35"/>
  <c r="AR19" i="40" s="1"/>
  <c r="AP16" i="39"/>
  <c r="AP18" i="39" s="1"/>
  <c r="AP43" i="40" s="1"/>
  <c r="AP18" i="35"/>
  <c r="AP19" i="40" s="1"/>
  <c r="AN16" i="39"/>
  <c r="AN18" i="39" s="1"/>
  <c r="AN43" i="40" s="1"/>
  <c r="AN18" i="35"/>
  <c r="AN19" i="40" s="1"/>
  <c r="AL16" i="39"/>
  <c r="AL18" i="39" s="1"/>
  <c r="AL43" i="40" s="1"/>
  <c r="AL18" i="35"/>
  <c r="AL19" i="40" s="1"/>
  <c r="AJ16" i="39"/>
  <c r="AJ18" i="39" s="1"/>
  <c r="AJ43" i="40" s="1"/>
  <c r="AJ18" i="35"/>
  <c r="AJ19" i="40" s="1"/>
  <c r="AH16" i="39"/>
  <c r="AH18" i="39" s="1"/>
  <c r="AH43" i="40" s="1"/>
  <c r="AH18" i="35"/>
  <c r="AH19" i="40" s="1"/>
  <c r="AF16" i="39"/>
  <c r="AF18" i="39" s="1"/>
  <c r="AF43" i="40" s="1"/>
  <c r="AF18" i="35"/>
  <c r="AF19" i="40" s="1"/>
  <c r="AD16" i="39"/>
  <c r="AD18" i="39" s="1"/>
  <c r="AD43" i="40" s="1"/>
  <c r="AD18" i="35"/>
  <c r="AD19" i="40" s="1"/>
  <c r="AB16" i="39"/>
  <c r="AB18" i="39" s="1"/>
  <c r="AB43" i="40" s="1"/>
  <c r="AB18" i="35"/>
  <c r="AB19" i="40" s="1"/>
  <c r="Z16" i="39"/>
  <c r="Z18" i="39" s="1"/>
  <c r="Z43" i="40" s="1"/>
  <c r="Z18" i="35"/>
  <c r="Z19" i="40" s="1"/>
  <c r="V16" i="39"/>
  <c r="V18" i="39" s="1"/>
  <c r="V43" i="40" s="1"/>
  <c r="V18" i="35"/>
  <c r="V19" i="40" s="1"/>
  <c r="T16" i="39"/>
  <c r="T18" i="39" s="1"/>
  <c r="T43" i="40" s="1"/>
  <c r="T18" i="35"/>
  <c r="T19" i="40" s="1"/>
  <c r="R16" i="39"/>
  <c r="R18" i="39" s="1"/>
  <c r="R43" i="40" s="1"/>
  <c r="R18" i="35"/>
  <c r="R19" i="40" s="1"/>
  <c r="P16" i="39"/>
  <c r="P18" i="39" s="1"/>
  <c r="P43" i="40" s="1"/>
  <c r="P18" i="35"/>
  <c r="P19" i="40" s="1"/>
  <c r="N16" i="39"/>
  <c r="N18" i="39" s="1"/>
  <c r="N43" i="40" s="1"/>
  <c r="N18" i="35"/>
  <c r="N19" i="40" s="1"/>
  <c r="L16" i="39"/>
  <c r="L18" i="39" s="1"/>
  <c r="L43" i="40" s="1"/>
  <c r="L18" i="35"/>
  <c r="L19" i="40" s="1"/>
  <c r="J16" i="39"/>
  <c r="J18" i="39" s="1"/>
  <c r="J43" i="40" s="1"/>
  <c r="J18" i="35"/>
  <c r="J19" i="40" s="1"/>
  <c r="H16" i="39"/>
  <c r="H18" i="39" s="1"/>
  <c r="H43" i="40" s="1"/>
  <c r="H18"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1" i="35"/>
  <c r="BF11" i="35"/>
  <c r="BG12" i="35"/>
  <c r="BF12" i="35"/>
  <c r="BG13" i="35"/>
  <c r="BF13" i="35"/>
  <c r="BG14" i="35"/>
  <c r="BF14" i="35"/>
  <c r="X16" i="35"/>
  <c r="F16" i="35"/>
  <c r="BG24" i="35"/>
  <c r="BF24" i="35"/>
  <c r="BG25" i="35"/>
  <c r="BF25" i="35"/>
  <c r="BG26" i="35"/>
  <c r="BF26" i="35"/>
  <c r="BG27" i="35"/>
  <c r="BF27" i="35"/>
  <c r="BG28" i="35"/>
  <c r="BF28" i="35"/>
  <c r="BG29" i="35"/>
  <c r="BF29" i="35"/>
  <c r="BG30" i="35"/>
  <c r="BF30" i="35"/>
  <c r="BG31" i="35"/>
  <c r="BF31" i="35"/>
  <c r="BG32" i="35"/>
  <c r="BF32" i="35"/>
  <c r="BG33" i="35"/>
  <c r="BF33" i="35"/>
  <c r="X35" i="35"/>
  <c r="F35" i="35"/>
  <c r="BG37" i="35"/>
  <c r="BF37" i="35"/>
  <c r="BG38" i="35"/>
  <c r="BF38" i="35"/>
  <c r="X40" i="35"/>
  <c r="F40"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BA18" i="35" l="1"/>
  <c r="BA19" i="40" s="1"/>
  <c r="D38" i="43"/>
  <c r="I18" i="35"/>
  <c r="I19" i="40" s="1"/>
  <c r="D46" i="43"/>
  <c r="D24" i="43"/>
  <c r="AS18" i="35"/>
  <c r="AS19" i="40" s="1"/>
  <c r="BH16" i="35"/>
  <c r="BH19" i="40"/>
  <c r="AC18" i="35"/>
  <c r="AC19" i="40" s="1"/>
  <c r="U18" i="35"/>
  <c r="U19" i="40" s="1"/>
  <c r="M18" i="35"/>
  <c r="M19" i="40" s="1"/>
  <c r="BF40" i="35"/>
  <c r="F42" i="35"/>
  <c r="F26" i="40" s="1"/>
  <c r="BF26" i="40" s="1"/>
  <c r="F24" i="40"/>
  <c r="BF24" i="40" s="1"/>
  <c r="BF35" i="35"/>
  <c r="F24" i="38"/>
  <c r="BF16" i="35"/>
  <c r="F16" i="39"/>
  <c r="F18" i="35"/>
  <c r="F19" i="40" s="1"/>
  <c r="BF19" i="40" s="1"/>
  <c r="BH9" i="35"/>
  <c r="AK17" i="40"/>
  <c r="BH17" i="40" s="1"/>
  <c r="BH40" i="35"/>
  <c r="AK42" i="35"/>
  <c r="AK26" i="40" s="1"/>
  <c r="BH26" i="40" s="1"/>
  <c r="BG9" i="35"/>
  <c r="X17" i="40"/>
  <c r="BG17" i="40" s="1"/>
  <c r="BH16" i="39"/>
  <c r="BH18" i="39" s="1"/>
  <c r="AK18" i="39"/>
  <c r="AK43" i="40" s="1"/>
  <c r="BH43" i="40" s="1"/>
  <c r="BF9" i="35"/>
  <c r="F17" i="40"/>
  <c r="BF17" i="40" s="1"/>
  <c r="BG40" i="35"/>
  <c r="X42" i="35"/>
  <c r="X26" i="40" s="1"/>
  <c r="BG26" i="40" s="1"/>
  <c r="BG35" i="35"/>
  <c r="X24" i="40"/>
  <c r="X24" i="38"/>
  <c r="BG24" i="38" s="1"/>
  <c r="X16" i="39"/>
  <c r="BG16" i="35"/>
  <c r="BG18" i="35" s="1"/>
  <c r="X18" i="35"/>
  <c r="X19" i="40" s="1"/>
  <c r="BG19" i="40" s="1"/>
  <c r="AK24" i="40"/>
  <c r="BH24" i="40" s="1"/>
  <c r="BH35"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18" i="35" l="1"/>
  <c r="BG28" i="38"/>
  <c r="X28" i="38"/>
  <c r="X39" i="40" s="1"/>
  <c r="BG39" i="40" s="1"/>
  <c r="BG42" i="35"/>
  <c r="BH42" i="35"/>
  <c r="D30" i="43"/>
  <c r="D28" i="43"/>
  <c r="BF24" i="38"/>
  <c r="F28" i="38"/>
  <c r="F39" i="40" s="1"/>
  <c r="BF42" i="35"/>
  <c r="BH28" i="38"/>
  <c r="F18" i="39"/>
  <c r="F43" i="40" s="1"/>
  <c r="BF43" i="40" s="1"/>
  <c r="BF16" i="39"/>
  <c r="BF18" i="39" s="1"/>
  <c r="BF28" i="38"/>
  <c r="X18" i="39"/>
  <c r="X43" i="40" s="1"/>
  <c r="BG43" i="40" s="1"/>
  <c r="BG16" i="39"/>
  <c r="BG18" i="39" s="1"/>
  <c r="BF18"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3" i="35" s="1"/>
  <c r="BF47" i="42"/>
  <c r="D27" i="35" s="1"/>
  <c r="BF48" i="42"/>
  <c r="BF49" i="42"/>
  <c r="D14" i="35" s="1"/>
  <c r="BF50" i="42"/>
  <c r="D18" i="36" s="1"/>
  <c r="BF51" i="42"/>
  <c r="D32"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26" i="35" s="1"/>
  <c r="BF25" i="42"/>
  <c r="D19" i="37" s="1"/>
  <c r="BF26" i="42"/>
  <c r="BF27" i="42"/>
  <c r="BF28" i="42"/>
  <c r="D20" i="37" s="1"/>
  <c r="BF29" i="42"/>
  <c r="D21" i="37" s="1"/>
  <c r="BF30" i="42"/>
  <c r="D22" i="37" s="1"/>
  <c r="BF31" i="42"/>
  <c r="D31" i="35" s="1"/>
  <c r="BF32" i="42"/>
  <c r="BF33" i="42"/>
  <c r="BF34" i="42"/>
  <c r="BI17" i="42"/>
  <c r="BH17" i="42"/>
  <c r="BG17" i="42"/>
  <c r="BF17" i="42"/>
  <c r="D14" i="37" s="1"/>
  <c r="BI8" i="42"/>
  <c r="BH8" i="42"/>
  <c r="BG8" i="42"/>
  <c r="BF8" i="42"/>
  <c r="D12" i="38" s="1"/>
  <c r="BF39" i="40" l="1"/>
  <c r="D42" i="43"/>
  <c r="D36" i="37"/>
  <c r="D29" i="35"/>
  <c r="D24" i="35"/>
  <c r="D13" i="35"/>
  <c r="D33" i="37"/>
  <c r="D12" i="35"/>
  <c r="D11" i="35"/>
  <c r="D37" i="37"/>
  <c r="D30" i="35"/>
  <c r="D32" i="37"/>
  <c r="D25" i="35"/>
  <c r="D20" i="36"/>
  <c r="D13" i="36"/>
  <c r="D28" i="35"/>
  <c r="D35" i="37"/>
  <c r="D17" i="37"/>
  <c r="D6" i="35"/>
  <c r="BI61" i="42"/>
  <c r="BH61" i="42"/>
  <c r="BG61" i="42"/>
  <c r="BF61" i="42"/>
  <c r="D38"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37" i="35"/>
  <c r="D13" i="38"/>
  <c r="D7"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0" i="35"/>
  <c r="D35" i="35"/>
  <c r="D24" i="38" s="1"/>
  <c r="D16" i="35"/>
  <c r="D16" i="39" s="1"/>
  <c r="D9" i="35"/>
  <c r="D17" i="40" s="1"/>
  <c r="D26" i="38" l="1"/>
  <c r="D41" i="37"/>
  <c r="D43" i="37" s="1"/>
  <c r="D35" i="40" s="1"/>
  <c r="D42" i="35"/>
  <c r="D26" i="40" s="1"/>
  <c r="D18" i="39"/>
  <c r="D43" i="40" s="1"/>
  <c r="D18"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4" i="35"/>
  <c r="G11" i="40"/>
  <c r="G10" i="39"/>
  <c r="G10" i="38"/>
  <c r="G17" i="38" s="1"/>
  <c r="G19" i="38" s="1"/>
  <c r="G37" i="40" s="1"/>
  <c r="G10" i="37"/>
  <c r="G10" i="36"/>
  <c r="G4" i="35"/>
  <c r="I11" i="40"/>
  <c r="I10" i="39"/>
  <c r="I10" i="38"/>
  <c r="I17" i="38" s="1"/>
  <c r="I19" i="38" s="1"/>
  <c r="I37" i="40" s="1"/>
  <c r="I10" i="37"/>
  <c r="I10" i="36"/>
  <c r="I4" i="35"/>
  <c r="K11" i="40"/>
  <c r="K10" i="39"/>
  <c r="K10" i="38"/>
  <c r="K17" i="38" s="1"/>
  <c r="K19" i="38" s="1"/>
  <c r="K37" i="40" s="1"/>
  <c r="K10" i="37"/>
  <c r="K10" i="36"/>
  <c r="K4" i="35"/>
  <c r="M11" i="40"/>
  <c r="M10" i="39"/>
  <c r="M10" i="38"/>
  <c r="M17" i="38" s="1"/>
  <c r="M19" i="38" s="1"/>
  <c r="M37" i="40" s="1"/>
  <c r="M10" i="37"/>
  <c r="M10" i="36"/>
  <c r="M4" i="35"/>
  <c r="O11" i="40"/>
  <c r="O10" i="39"/>
  <c r="O10" i="38"/>
  <c r="O17" i="38" s="1"/>
  <c r="O19" i="38" s="1"/>
  <c r="O37" i="40" s="1"/>
  <c r="O10" i="37"/>
  <c r="O10" i="36"/>
  <c r="O4" i="35"/>
  <c r="Q11" i="40"/>
  <c r="Q10" i="39"/>
  <c r="Q10" i="38"/>
  <c r="Q17" i="38" s="1"/>
  <c r="Q19" i="38" s="1"/>
  <c r="Q37" i="40" s="1"/>
  <c r="Q10" i="37"/>
  <c r="Q10" i="36"/>
  <c r="Q4" i="35"/>
  <c r="S11" i="40"/>
  <c r="S10" i="39"/>
  <c r="S10" i="38"/>
  <c r="S17" i="38" s="1"/>
  <c r="S19" i="38" s="1"/>
  <c r="S37" i="40" s="1"/>
  <c r="S10" i="37"/>
  <c r="S10" i="36"/>
  <c r="S4" i="35"/>
  <c r="U11" i="40"/>
  <c r="U10" i="39"/>
  <c r="U10" i="38"/>
  <c r="U17" i="38" s="1"/>
  <c r="U19" i="38" s="1"/>
  <c r="U37" i="40" s="1"/>
  <c r="U10" i="37"/>
  <c r="U10" i="36"/>
  <c r="U4" i="35"/>
  <c r="W11" i="40"/>
  <c r="W10" i="39"/>
  <c r="W10" i="38"/>
  <c r="W17" i="38" s="1"/>
  <c r="W19" i="38" s="1"/>
  <c r="W37" i="40" s="1"/>
  <c r="W10" i="37"/>
  <c r="W10" i="36"/>
  <c r="W4" i="35"/>
  <c r="Y11" i="40"/>
  <c r="Y10" i="39"/>
  <c r="Y10" i="38"/>
  <c r="Y17" i="38" s="1"/>
  <c r="Y19" i="38" s="1"/>
  <c r="Y37" i="40" s="1"/>
  <c r="Y10" i="37"/>
  <c r="Y10" i="36"/>
  <c r="Y4" i="35"/>
  <c r="AA11" i="40"/>
  <c r="AA10" i="39"/>
  <c r="AA10" i="38"/>
  <c r="AA17" i="38" s="1"/>
  <c r="AA19" i="38" s="1"/>
  <c r="AA37" i="40" s="1"/>
  <c r="AA10" i="37"/>
  <c r="AA10" i="36"/>
  <c r="AA4" i="35"/>
  <c r="AC11" i="40"/>
  <c r="AC10" i="39"/>
  <c r="AC10" i="38"/>
  <c r="AC17" i="38" s="1"/>
  <c r="AC19" i="38" s="1"/>
  <c r="AC37" i="40" s="1"/>
  <c r="AC10" i="37"/>
  <c r="AC10" i="36"/>
  <c r="AC4" i="35"/>
  <c r="AE11" i="40"/>
  <c r="AE10" i="39"/>
  <c r="AE10" i="38"/>
  <c r="AE17" i="38" s="1"/>
  <c r="AE19" i="38" s="1"/>
  <c r="AE37" i="40" s="1"/>
  <c r="AE10" i="37"/>
  <c r="AE10" i="36"/>
  <c r="AE4" i="35"/>
  <c r="AG11" i="40"/>
  <c r="AG10" i="39"/>
  <c r="AG10" i="38"/>
  <c r="AG17" i="38" s="1"/>
  <c r="AG19" i="38" s="1"/>
  <c r="AG37" i="40" s="1"/>
  <c r="AG10" i="37"/>
  <c r="AG10" i="36"/>
  <c r="AG4" i="35"/>
  <c r="AI11" i="40"/>
  <c r="AI10" i="39"/>
  <c r="AI10" i="38"/>
  <c r="AI17" i="38" s="1"/>
  <c r="AI19" i="38" s="1"/>
  <c r="AI37" i="40" s="1"/>
  <c r="AI10" i="37"/>
  <c r="AI10" i="36"/>
  <c r="AI4" i="35"/>
  <c r="AK11" i="40"/>
  <c r="AK10" i="39"/>
  <c r="AK10" i="38"/>
  <c r="AK17" i="38" s="1"/>
  <c r="AK10" i="37"/>
  <c r="AK10" i="36"/>
  <c r="AK4" i="35"/>
  <c r="AM11" i="40"/>
  <c r="AM10" i="39"/>
  <c r="AM10" i="38"/>
  <c r="AM17" i="38" s="1"/>
  <c r="AM19" i="38" s="1"/>
  <c r="AM37" i="40" s="1"/>
  <c r="AM10" i="37"/>
  <c r="AM10" i="36"/>
  <c r="AM4" i="35"/>
  <c r="AO11" i="40"/>
  <c r="AO10" i="39"/>
  <c r="AO10" i="38"/>
  <c r="AO17" i="38" s="1"/>
  <c r="AO19" i="38" s="1"/>
  <c r="AO37" i="40" s="1"/>
  <c r="AO10" i="37"/>
  <c r="AO10" i="36"/>
  <c r="AO4" i="35"/>
  <c r="AQ11" i="40"/>
  <c r="AQ10" i="39"/>
  <c r="AQ10" i="38"/>
  <c r="AQ17" i="38" s="1"/>
  <c r="AQ19" i="38" s="1"/>
  <c r="AQ37" i="40" s="1"/>
  <c r="AQ10" i="37"/>
  <c r="AQ10" i="36"/>
  <c r="AQ4" i="35"/>
  <c r="AS11" i="40"/>
  <c r="AS10" i="39"/>
  <c r="AS10" i="38"/>
  <c r="AS17" i="38" s="1"/>
  <c r="AS19" i="38" s="1"/>
  <c r="AS37" i="40" s="1"/>
  <c r="AS10" i="37"/>
  <c r="AS10" i="36"/>
  <c r="AS4" i="35"/>
  <c r="AU11" i="40"/>
  <c r="AU10" i="39"/>
  <c r="AU10" i="38"/>
  <c r="AU17" i="38" s="1"/>
  <c r="AU19" i="38" s="1"/>
  <c r="AU37" i="40" s="1"/>
  <c r="AU10" i="37"/>
  <c r="AU10" i="36"/>
  <c r="AU4" i="35"/>
  <c r="AW11" i="40"/>
  <c r="AW10" i="39"/>
  <c r="AW10" i="38"/>
  <c r="AW17" i="38" s="1"/>
  <c r="AW19" i="38" s="1"/>
  <c r="AW37" i="40" s="1"/>
  <c r="AW10" i="37"/>
  <c r="AW10" i="36"/>
  <c r="AW4" i="35"/>
  <c r="AY11" i="40"/>
  <c r="AY10" i="39"/>
  <c r="AY10" i="38"/>
  <c r="AY17" i="38" s="1"/>
  <c r="AY19" i="38" s="1"/>
  <c r="AY37" i="40" s="1"/>
  <c r="AY10" i="37"/>
  <c r="AY10" i="36"/>
  <c r="AY4" i="35"/>
  <c r="BA11" i="40"/>
  <c r="BA10" i="39"/>
  <c r="BA10" i="38"/>
  <c r="BA17" i="38" s="1"/>
  <c r="BA19" i="38" s="1"/>
  <c r="BA37" i="40" s="1"/>
  <c r="BA10" i="37"/>
  <c r="BA10" i="36"/>
  <c r="BA4" i="35"/>
  <c r="BC11" i="40"/>
  <c r="BC10" i="39"/>
  <c r="BC10" i="38"/>
  <c r="BC17" i="38" s="1"/>
  <c r="BC19" i="38" s="1"/>
  <c r="BC37" i="40" s="1"/>
  <c r="BC10" i="37"/>
  <c r="BC10" i="36"/>
  <c r="BC4" i="35"/>
  <c r="BE11" i="40"/>
  <c r="BE10" i="39"/>
  <c r="BE10" i="38"/>
  <c r="BE17" i="38" s="1"/>
  <c r="BE19" i="38" s="1"/>
  <c r="BE37" i="40" s="1"/>
  <c r="BE10" i="37"/>
  <c r="BE10" i="36"/>
  <c r="BE4" i="35"/>
  <c r="F11" i="40"/>
  <c r="F10" i="39"/>
  <c r="F10" i="38"/>
  <c r="F17" i="38" s="1"/>
  <c r="F19" i="38" s="1"/>
  <c r="F37" i="40" s="1"/>
  <c r="F10" i="37"/>
  <c r="F10" i="36"/>
  <c r="F4" i="35"/>
  <c r="H11" i="40"/>
  <c r="H10" i="39"/>
  <c r="H10" i="38"/>
  <c r="H17" i="38" s="1"/>
  <c r="H19" i="38" s="1"/>
  <c r="H37" i="40" s="1"/>
  <c r="H10" i="37"/>
  <c r="H10" i="36"/>
  <c r="H4" i="35"/>
  <c r="J10" i="37"/>
  <c r="J10" i="36"/>
  <c r="J11" i="40"/>
  <c r="J10" i="39"/>
  <c r="J10" i="38"/>
  <c r="J17" i="38" s="1"/>
  <c r="J19" i="38" s="1"/>
  <c r="J37" i="40" s="1"/>
  <c r="J4" i="35"/>
  <c r="L11" i="40"/>
  <c r="L10" i="39"/>
  <c r="L10" i="38"/>
  <c r="L17" i="38" s="1"/>
  <c r="L19" i="38" s="1"/>
  <c r="L37" i="40" s="1"/>
  <c r="L10" i="37"/>
  <c r="L10" i="36"/>
  <c r="L4" i="35"/>
  <c r="N11" i="40"/>
  <c r="N10" i="39"/>
  <c r="N10" i="38"/>
  <c r="N17" i="38" s="1"/>
  <c r="N19" i="38" s="1"/>
  <c r="N37" i="40" s="1"/>
  <c r="N10" i="37"/>
  <c r="N10" i="36"/>
  <c r="N4" i="35"/>
  <c r="P11" i="40"/>
  <c r="P10" i="39"/>
  <c r="P10" i="38"/>
  <c r="P17" i="38" s="1"/>
  <c r="P19" i="38" s="1"/>
  <c r="P37" i="40" s="1"/>
  <c r="P10" i="37"/>
  <c r="P10" i="36"/>
  <c r="P4" i="35"/>
  <c r="R10" i="37"/>
  <c r="R10" i="36"/>
  <c r="R11" i="40"/>
  <c r="R10" i="39"/>
  <c r="R10" i="38"/>
  <c r="R17" i="38" s="1"/>
  <c r="R19" i="38" s="1"/>
  <c r="R37" i="40" s="1"/>
  <c r="R4" i="35"/>
  <c r="T11" i="40"/>
  <c r="T10" i="39"/>
  <c r="T10" i="38"/>
  <c r="T17" i="38" s="1"/>
  <c r="T19" i="38" s="1"/>
  <c r="T37" i="40" s="1"/>
  <c r="T10" i="37"/>
  <c r="T10" i="36"/>
  <c r="T4" i="35"/>
  <c r="V11" i="40"/>
  <c r="V10" i="39"/>
  <c r="V10" i="38"/>
  <c r="V17" i="38" s="1"/>
  <c r="V19" i="38" s="1"/>
  <c r="V37" i="40" s="1"/>
  <c r="V10" i="37"/>
  <c r="V10" i="36"/>
  <c r="V4" i="35"/>
  <c r="X11" i="40"/>
  <c r="X10" i="39"/>
  <c r="X10" i="38"/>
  <c r="X17" i="38" s="1"/>
  <c r="X10" i="37"/>
  <c r="X10" i="36"/>
  <c r="X4" i="35"/>
  <c r="Z10" i="37"/>
  <c r="Z10" i="36"/>
  <c r="Z11" i="40"/>
  <c r="Z10" i="39"/>
  <c r="Z10" i="38"/>
  <c r="Z17" i="38" s="1"/>
  <c r="Z19" i="38" s="1"/>
  <c r="Z37" i="40" s="1"/>
  <c r="Z4" i="35"/>
  <c r="AB11" i="40"/>
  <c r="AB10" i="39"/>
  <c r="AB10" i="38"/>
  <c r="AB17" i="38" s="1"/>
  <c r="AB19" i="38" s="1"/>
  <c r="AB37" i="40" s="1"/>
  <c r="AB10" i="37"/>
  <c r="AB10" i="36"/>
  <c r="AB4" i="35"/>
  <c r="AD11" i="40"/>
  <c r="AD10" i="39"/>
  <c r="AD10" i="38"/>
  <c r="AD17" i="38" s="1"/>
  <c r="AD19" i="38" s="1"/>
  <c r="AD37" i="40" s="1"/>
  <c r="AD10" i="37"/>
  <c r="AD10" i="36"/>
  <c r="AD4" i="35"/>
  <c r="AF11" i="40"/>
  <c r="AF10" i="39"/>
  <c r="AF10" i="38"/>
  <c r="AF17" i="38" s="1"/>
  <c r="AF19" i="38" s="1"/>
  <c r="AF37" i="40" s="1"/>
  <c r="AF10" i="37"/>
  <c r="AF10" i="36"/>
  <c r="AF4" i="35"/>
  <c r="AH10" i="37"/>
  <c r="AH10" i="36"/>
  <c r="AH11" i="40"/>
  <c r="AH10" i="39"/>
  <c r="AH10" i="38"/>
  <c r="AH17" i="38" s="1"/>
  <c r="AH19" i="38" s="1"/>
  <c r="AH37" i="40" s="1"/>
  <c r="AH4" i="35"/>
  <c r="AJ11" i="40"/>
  <c r="AJ10" i="39"/>
  <c r="AJ10" i="38"/>
  <c r="AJ17" i="38" s="1"/>
  <c r="AJ19" i="38" s="1"/>
  <c r="AJ37" i="40" s="1"/>
  <c r="AJ10" i="37"/>
  <c r="AJ10" i="36"/>
  <c r="AJ4" i="35"/>
  <c r="AL11" i="40"/>
  <c r="AL10" i="39"/>
  <c r="AL10" i="38"/>
  <c r="AL17" i="38" s="1"/>
  <c r="AL19" i="38" s="1"/>
  <c r="AL37" i="40" s="1"/>
  <c r="AL10" i="37"/>
  <c r="AL10" i="36"/>
  <c r="AL4" i="35"/>
  <c r="AN11" i="40"/>
  <c r="AN10" i="39"/>
  <c r="AN10" i="38"/>
  <c r="AN17" i="38" s="1"/>
  <c r="AN19" i="38" s="1"/>
  <c r="AN37" i="40" s="1"/>
  <c r="AN10" i="37"/>
  <c r="AN10" i="36"/>
  <c r="AN4" i="35"/>
  <c r="AP10" i="37"/>
  <c r="AP11" i="40"/>
  <c r="AP10" i="39"/>
  <c r="AP10" i="38"/>
  <c r="AP17" i="38" s="1"/>
  <c r="AP19" i="38" s="1"/>
  <c r="AP37" i="40" s="1"/>
  <c r="AP10" i="36"/>
  <c r="AP4" i="35"/>
  <c r="AR11" i="40"/>
  <c r="AR10" i="39"/>
  <c r="AR10" i="38"/>
  <c r="AR17" i="38" s="1"/>
  <c r="AR19" i="38" s="1"/>
  <c r="AR37" i="40" s="1"/>
  <c r="AR10" i="37"/>
  <c r="AR10" i="36"/>
  <c r="AR4" i="35"/>
  <c r="AT11" i="40"/>
  <c r="AT10" i="39"/>
  <c r="AT10" i="38"/>
  <c r="AT17" i="38" s="1"/>
  <c r="AT19" i="38" s="1"/>
  <c r="AT37" i="40" s="1"/>
  <c r="AT10" i="37"/>
  <c r="AT10" i="36"/>
  <c r="AT4" i="35"/>
  <c r="AV11" i="40"/>
  <c r="AV10" i="39"/>
  <c r="AV10" i="38"/>
  <c r="AV17" i="38" s="1"/>
  <c r="AV19" i="38" s="1"/>
  <c r="AV37" i="40" s="1"/>
  <c r="AV10" i="37"/>
  <c r="AV10" i="36"/>
  <c r="AV4" i="35"/>
  <c r="AX10" i="37"/>
  <c r="AX11" i="40"/>
  <c r="AX10" i="39"/>
  <c r="AX10" i="38"/>
  <c r="AX17" i="38" s="1"/>
  <c r="AX19" i="38" s="1"/>
  <c r="AX37" i="40" s="1"/>
  <c r="AX10" i="36"/>
  <c r="AX4" i="35"/>
  <c r="AZ11" i="40"/>
  <c r="AZ10" i="39"/>
  <c r="AZ10" i="38"/>
  <c r="AZ17" i="38" s="1"/>
  <c r="AZ19" i="38" s="1"/>
  <c r="AZ37" i="40" s="1"/>
  <c r="AZ10" i="37"/>
  <c r="AZ10" i="36"/>
  <c r="AZ4" i="35"/>
  <c r="BB11" i="40"/>
  <c r="BB10" i="39"/>
  <c r="BB10" i="38"/>
  <c r="BB17" i="38" s="1"/>
  <c r="BB19" i="38" s="1"/>
  <c r="BB37" i="40" s="1"/>
  <c r="BB10" i="37"/>
  <c r="BB10" i="36"/>
  <c r="BB4" i="35"/>
  <c r="BD11" i="40"/>
  <c r="BD10" i="39"/>
  <c r="BD10" i="38"/>
  <c r="BD17" i="38" s="1"/>
  <c r="BD19" i="38" s="1"/>
  <c r="BD37" i="40" s="1"/>
  <c r="BD10" i="37"/>
  <c r="BD10" i="36"/>
  <c r="BD4"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4" i="35"/>
  <c r="BF10" i="37"/>
  <c r="BF11" i="40"/>
  <c r="BF10" i="39"/>
  <c r="BF10" i="38"/>
  <c r="BF10" i="36"/>
  <c r="BF4" i="35"/>
  <c r="BH11" i="40"/>
  <c r="BH10" i="39"/>
  <c r="BH10" i="38"/>
  <c r="BH10" i="37"/>
  <c r="BH10" i="36"/>
  <c r="BH4"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<sst xmlns="http://schemas.openxmlformats.org/spreadsheetml/2006/main" count="5598" uniqueCount="822">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</sst>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9">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4" fontId="0" fillId="0" borderId="1" xfId="0" applyNumberFormat="1" applyFill="1" applyBorder="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xf numFmtId="0" fontId="22" fillId="0" borderId="0" xfId="0" applyFont="1" applyAlignment="1">
      <alignment horizontal="left"/>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'5.4.1Graphique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5" t="s">
        <v>610</v>
      </c>
    </row>
    <row r="4" spans="1:3" ht="21" x14ac:dyDescent="0.35">
      <c r="B4" s="194" t="s">
        <v>621</v>
      </c>
      <c r="C4" s="156"/>
    </row>
    <row r="5" spans="1:3" x14ac:dyDescent="0.25">
      <c r="C5" s="156"/>
    </row>
    <row r="6" spans="1:3" x14ac:dyDescent="0.25">
      <c r="A6" s="65">
        <v>1</v>
      </c>
      <c r="B6" s="7" t="s">
        <v>611</v>
      </c>
      <c r="C6" s="162"/>
    </row>
    <row r="7" spans="1:3" x14ac:dyDescent="0.25">
      <c r="A7" s="156">
        <v>1.1000000000000001</v>
      </c>
      <c r="B7" t="s">
        <v>611</v>
      </c>
      <c r="C7" s="163" t="s">
        <v>611</v>
      </c>
    </row>
    <row r="8" spans="1:3" x14ac:dyDescent="0.25">
      <c r="A8" s="156"/>
      <c r="C8" s="164"/>
    </row>
    <row r="9" spans="1:3" x14ac:dyDescent="0.25">
      <c r="A9" s="65">
        <v>2</v>
      </c>
      <c r="B9" s="7" t="s">
        <v>615</v>
      </c>
      <c r="C9" s="164"/>
    </row>
    <row r="10" spans="1:3" x14ac:dyDescent="0.25">
      <c r="A10" s="156">
        <v>2.1</v>
      </c>
      <c r="B10" t="s">
        <v>622</v>
      </c>
      <c r="C10" s="165" t="s">
        <v>636</v>
      </c>
    </row>
    <row r="11" spans="1:3" x14ac:dyDescent="0.25">
      <c r="A11" s="156">
        <v>2.2000000000000002</v>
      </c>
      <c r="B11" t="s">
        <v>623</v>
      </c>
      <c r="C11" s="166" t="s">
        <v>637</v>
      </c>
    </row>
    <row r="12" spans="1:3" x14ac:dyDescent="0.25">
      <c r="A12" s="156">
        <v>2.2999999999999998</v>
      </c>
      <c r="B12" t="s">
        <v>659</v>
      </c>
      <c r="C12" s="166" t="s">
        <v>661</v>
      </c>
    </row>
    <row r="13" spans="1:3" x14ac:dyDescent="0.25">
      <c r="A13" s="156">
        <v>2.4</v>
      </c>
      <c r="B13" t="s">
        <v>612</v>
      </c>
      <c r="C13" s="166" t="s">
        <v>612</v>
      </c>
    </row>
    <row r="14" spans="1:3" x14ac:dyDescent="0.25">
      <c r="A14" s="156">
        <v>2.5</v>
      </c>
      <c r="B14" t="s">
        <v>613</v>
      </c>
      <c r="C14" s="166" t="s">
        <v>613</v>
      </c>
    </row>
    <row r="15" spans="1:3" x14ac:dyDescent="0.25">
      <c r="A15" s="156">
        <v>2.6</v>
      </c>
      <c r="B15" t="s">
        <v>638</v>
      </c>
      <c r="C15" s="166" t="s">
        <v>638</v>
      </c>
    </row>
    <row r="16" spans="1:3" x14ac:dyDescent="0.25">
      <c r="A16" s="156">
        <v>2.7</v>
      </c>
      <c r="B16" t="s">
        <v>639</v>
      </c>
      <c r="C16" s="166" t="s">
        <v>640</v>
      </c>
    </row>
    <row r="17" spans="1:3" x14ac:dyDescent="0.25">
      <c r="A17" s="156">
        <v>2.8</v>
      </c>
      <c r="B17" t="s">
        <v>558</v>
      </c>
      <c r="C17" s="166" t="s">
        <v>558</v>
      </c>
    </row>
    <row r="18" spans="1:3" x14ac:dyDescent="0.25">
      <c r="A18" s="156">
        <v>2.9</v>
      </c>
      <c r="B18" t="s">
        <v>614</v>
      </c>
      <c r="C18" s="166" t="s">
        <v>614</v>
      </c>
    </row>
    <row r="19" spans="1:3" x14ac:dyDescent="0.25">
      <c r="A19" s="161">
        <v>2.1</v>
      </c>
      <c r="B19" t="s">
        <v>616</v>
      </c>
      <c r="C19" s="166" t="s">
        <v>616</v>
      </c>
    </row>
    <row r="20" spans="1:3" x14ac:dyDescent="0.25">
      <c r="A20" s="161">
        <v>2.11</v>
      </c>
      <c r="B20" t="s">
        <v>617</v>
      </c>
      <c r="C20" s="166" t="s">
        <v>641</v>
      </c>
    </row>
    <row r="21" spans="1:3" x14ac:dyDescent="0.25">
      <c r="A21" s="156"/>
      <c r="C21" s="164"/>
    </row>
    <row r="22" spans="1:3" x14ac:dyDescent="0.25">
      <c r="A22" s="65">
        <v>3</v>
      </c>
      <c r="B22" s="7" t="s">
        <v>618</v>
      </c>
      <c r="C22" s="164"/>
    </row>
    <row r="23" spans="1:3" x14ac:dyDescent="0.25">
      <c r="A23" s="156">
        <v>3.2</v>
      </c>
      <c r="B23" t="s">
        <v>626</v>
      </c>
      <c r="C23" s="167" t="s">
        <v>626</v>
      </c>
    </row>
    <row r="24" spans="1:3" x14ac:dyDescent="0.25">
      <c r="A24" s="156">
        <v>3.3</v>
      </c>
      <c r="B24" t="s">
        <v>625</v>
      </c>
      <c r="C24" s="167" t="s">
        <v>625</v>
      </c>
    </row>
    <row r="25" spans="1:3" x14ac:dyDescent="0.25">
      <c r="A25" s="156">
        <v>3.4</v>
      </c>
      <c r="B25" t="s">
        <v>756</v>
      </c>
      <c r="C25" s="167" t="s">
        <v>756</v>
      </c>
    </row>
    <row r="26" spans="1:3" x14ac:dyDescent="0.25">
      <c r="A26" s="156">
        <v>3.5</v>
      </c>
      <c r="B26" t="s">
        <v>619</v>
      </c>
      <c r="C26" s="167" t="s">
        <v>642</v>
      </c>
    </row>
    <row r="27" spans="1:3" x14ac:dyDescent="0.25">
      <c r="A27" s="156">
        <v>3.6</v>
      </c>
      <c r="B27" t="s">
        <v>620</v>
      </c>
      <c r="C27" s="167" t="s">
        <v>755</v>
      </c>
    </row>
    <row r="28" spans="1:3" x14ac:dyDescent="0.25">
      <c r="A28" s="156"/>
      <c r="C28" s="164"/>
    </row>
    <row r="29" spans="1:3" x14ac:dyDescent="0.25">
      <c r="A29" s="65">
        <v>4</v>
      </c>
      <c r="B29" s="7" t="s">
        <v>628</v>
      </c>
      <c r="C29" s="164"/>
    </row>
    <row r="30" spans="1:3" x14ac:dyDescent="0.25">
      <c r="A30" s="156">
        <v>4.0999999999999996</v>
      </c>
      <c r="B30" t="s">
        <v>627</v>
      </c>
      <c r="C30" s="168" t="s">
        <v>624</v>
      </c>
    </row>
    <row r="31" spans="1:3" x14ac:dyDescent="0.25">
      <c r="A31" s="156">
        <v>4.2</v>
      </c>
      <c r="B31" t="s">
        <v>660</v>
      </c>
      <c r="C31" s="168" t="s">
        <v>660</v>
      </c>
    </row>
    <row r="32" spans="1:3" x14ac:dyDescent="0.25">
      <c r="A32" s="156"/>
      <c r="C32" s="164"/>
    </row>
    <row r="33" spans="1:3" x14ac:dyDescent="0.25">
      <c r="A33" s="65">
        <v>5</v>
      </c>
      <c r="B33" s="7" t="s">
        <v>282</v>
      </c>
      <c r="C33" s="164"/>
    </row>
    <row r="34" spans="1:3" x14ac:dyDescent="0.25">
      <c r="A34" s="156">
        <v>5.0999999999999996</v>
      </c>
      <c r="B34" t="s">
        <v>757</v>
      </c>
      <c r="C34" s="170" t="s">
        <v>757</v>
      </c>
    </row>
    <row r="35" spans="1:3" x14ac:dyDescent="0.25">
      <c r="A35" s="156">
        <v>5.2</v>
      </c>
      <c r="B35" t="s">
        <v>635</v>
      </c>
      <c r="C35" s="169" t="s">
        <v>579</v>
      </c>
    </row>
    <row r="36" spans="1:3" x14ac:dyDescent="0.25">
      <c r="A36" s="156">
        <v>5.3</v>
      </c>
      <c r="B36" t="s">
        <v>631</v>
      </c>
      <c r="C36" s="170" t="s">
        <v>643</v>
      </c>
    </row>
    <row r="37" spans="1:3" x14ac:dyDescent="0.25">
      <c r="A37" s="156">
        <v>5.4</v>
      </c>
      <c r="B37" t="s">
        <v>632</v>
      </c>
      <c r="C37" s="170" t="s">
        <v>644</v>
      </c>
    </row>
    <row r="38" spans="1:3" x14ac:dyDescent="0.25">
      <c r="A38" s="156">
        <v>5.5</v>
      </c>
      <c r="B38" t="s">
        <v>633</v>
      </c>
      <c r="C38" s="170" t="s">
        <v>645</v>
      </c>
    </row>
    <row r="39" spans="1:3" x14ac:dyDescent="0.25">
      <c r="A39" s="156">
        <v>5.6</v>
      </c>
      <c r="B39" t="s">
        <v>634</v>
      </c>
      <c r="C39" s="169" t="s">
        <v>646</v>
      </c>
    </row>
    <row r="40" spans="1:3" x14ac:dyDescent="0.25">
      <c r="A40" s="156">
        <v>5.7</v>
      </c>
      <c r="B40" t="s">
        <v>629</v>
      </c>
      <c r="C40" s="170" t="s">
        <v>647</v>
      </c>
    </row>
    <row r="41" spans="1:3" x14ac:dyDescent="0.25">
      <c r="A41" s="156">
        <v>5.8</v>
      </c>
      <c r="B41" t="s">
        <v>630</v>
      </c>
      <c r="C41" s="170"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5"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'6.1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'6.1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'6.1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'6.1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6">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6">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6">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6">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4"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3">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5" x14ac:dyDescent="0.25"/>
  <cols>
    <col min="1" max="1" width="57" customWidth="1"/>
    <col min="2" max="2" width="22.85546875" customWidth="1"/>
  </cols>
  <sheetData>
    <row r="1" spans="1:2" x14ac:dyDescent="0.25">
      <c r="A1" s="7" t="s">
        <v>60</v>
      </c>
      <c r="B1" s="4"/>
    </row>
    <row r="2" spans="1:2" x14ac:dyDescent="0.25">
      <c r="A2" s="78" t="s">
        <v>806</v>
      </c>
      <c r="B2" s="4">
        <f>'Tableau fonctionnelle'!C7</f>
        <v>31469284.439999998</v>
      </c>
    </row>
    <row r="3" spans="1:2" x14ac:dyDescent="0.25">
      <c r="A3" s="78" t="s">
        <v>807</v>
      </c>
      <c r="B3" s="4">
        <f>'Tableau fonctionnelle'!C11</f>
        <v>11136519.650000002</v>
      </c>
    </row>
    <row r="4" spans="1:2" x14ac:dyDescent="0.25">
      <c r="A4" s="78" t="s">
        <v>808</v>
      </c>
      <c r="B4" s="4">
        <f>'Tableau fonctionnelle'!C15</f>
        <v>102323379.91000003</v>
      </c>
    </row>
    <row r="5" spans="1:2" x14ac:dyDescent="0.25">
      <c r="A5" s="78" t="s">
        <v>809</v>
      </c>
      <c r="B5" s="4">
        <f>'Tableau fonctionnelle'!C19</f>
        <v>14985535.060000002</v>
      </c>
    </row>
    <row r="6" spans="1:2" x14ac:dyDescent="0.25">
      <c r="A6" s="78" t="s">
        <v>810</v>
      </c>
      <c r="B6" s="4">
        <f>'Tableau fonctionnelle'!C23</f>
        <v>804616.3899999999</v>
      </c>
    </row>
    <row r="7" spans="1:2" x14ac:dyDescent="0.25">
      <c r="A7" s="78" t="s">
        <v>811</v>
      </c>
      <c r="B7" s="4">
        <f>'Tableau fonctionnelle'!C27</f>
        <v>91044890.049999997</v>
      </c>
    </row>
    <row r="8" spans="1:2" x14ac:dyDescent="0.25">
      <c r="A8" s="78" t="s">
        <v>812</v>
      </c>
      <c r="B8" s="4">
        <f>'Tableau fonctionnelle'!C31</f>
        <v>27784761.320000011</v>
      </c>
    </row>
    <row r="9" spans="1:2" x14ac:dyDescent="0.25">
      <c r="A9" s="78" t="s">
        <v>813</v>
      </c>
      <c r="B9" s="4">
        <f>'Tableau fonctionnelle'!C35</f>
        <v>40133119.179999992</v>
      </c>
    </row>
    <row r="10" spans="1:2" x14ac:dyDescent="0.25">
      <c r="A10" s="78" t="s">
        <v>814</v>
      </c>
      <c r="B10" s="4">
        <f>'Tableau fonctionnelle'!C39</f>
        <v>38853071.929999985</v>
      </c>
    </row>
    <row r="11" spans="1:2" x14ac:dyDescent="0.25">
      <c r="A11" s="78" t="s">
        <v>815</v>
      </c>
      <c r="B11" s="4">
        <f>'Tableau fonctionnelle'!C43</f>
        <v>42749162.500000007</v>
      </c>
    </row>
    <row r="12" spans="1:2" x14ac:dyDescent="0.25">
      <c r="B12" s="4"/>
    </row>
    <row r="13" spans="1:2" x14ac:dyDescent="0.25">
      <c r="A13" s="7" t="s">
        <v>137</v>
      </c>
      <c r="B13" s="4"/>
    </row>
    <row r="14" spans="1:2" x14ac:dyDescent="0.25">
      <c r="A14" s="78" t="s">
        <v>806</v>
      </c>
      <c r="B14" s="4">
        <f>'Tableau fonctionnelle'!C8</f>
        <v>4024189.8900000006</v>
      </c>
    </row>
    <row r="15" spans="1:2" x14ac:dyDescent="0.25">
      <c r="A15" s="78" t="s">
        <v>807</v>
      </c>
      <c r="B15" s="4">
        <f>'Tableau fonctionnelle'!C12</f>
        <v>7519359.5800000019</v>
      </c>
    </row>
    <row r="16" spans="1:2" x14ac:dyDescent="0.25">
      <c r="A16" s="78" t="s">
        <v>808</v>
      </c>
      <c r="B16" s="4">
        <f>'Tableau fonctionnelle'!C16</f>
        <v>6742848.660000002</v>
      </c>
    </row>
    <row r="17" spans="1:2" x14ac:dyDescent="0.25">
      <c r="A17" s="78" t="s">
        <v>809</v>
      </c>
      <c r="B17" s="4">
        <f>'Tableau fonctionnelle'!C20</f>
        <v>2072041.33</v>
      </c>
    </row>
    <row r="18" spans="1:2" x14ac:dyDescent="0.25">
      <c r="A18" s="78" t="s">
        <v>810</v>
      </c>
      <c r="B18" s="4">
        <f>'Tableau fonctionnelle'!C24</f>
        <v>14782.6</v>
      </c>
    </row>
    <row r="19" spans="1:2" x14ac:dyDescent="0.25">
      <c r="A19" s="78" t="s">
        <v>811</v>
      </c>
      <c r="B19" s="4">
        <f>'Tableau fonctionnelle'!C28</f>
        <v>34650660.200000003</v>
      </c>
    </row>
    <row r="20" spans="1:2" x14ac:dyDescent="0.25">
      <c r="A20" s="78" t="s">
        <v>812</v>
      </c>
      <c r="B20" s="4">
        <f>'Tableau fonctionnelle'!C32</f>
        <v>8078036.5399999991</v>
      </c>
    </row>
    <row r="21" spans="1:2" x14ac:dyDescent="0.25">
      <c r="A21" s="78" t="s">
        <v>813</v>
      </c>
      <c r="B21" s="4">
        <f>'Tableau fonctionnelle'!C36</f>
        <v>42822551.390000001</v>
      </c>
    </row>
    <row r="22" spans="1:2" x14ac:dyDescent="0.25">
      <c r="A22" s="78" t="s">
        <v>814</v>
      </c>
      <c r="B22" s="4">
        <f>'Tableau fonctionnelle'!C40</f>
        <v>39185009.339999996</v>
      </c>
    </row>
    <row r="23" spans="1:2" x14ac:dyDescent="0.25">
      <c r="A23" s="78" t="s">
        <v>815</v>
      </c>
      <c r="B23" s="4">
        <f>'Tableau fonctionnelle'!C44</f>
        <v>264468552.40999994</v>
      </c>
    </row>
    <row r="24" spans="1:2" x14ac:dyDescent="0.25">
      <c r="B24" s="4"/>
    </row>
    <row r="25" spans="1:2" x14ac:dyDescent="0.25">
      <c r="B25" s="4"/>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3">
        <v>1</v>
      </c>
      <c r="N2" s="31" t="s">
        <v>52</v>
      </c>
      <c r="O2" s="32">
        <f>C34</f>
        <v>1895</v>
      </c>
    </row>
    <row r="3" spans="1:15" x14ac:dyDescent="0.2">
      <c r="A3" s="27">
        <v>2</v>
      </c>
      <c r="B3" s="28" t="s">
        <v>18</v>
      </c>
      <c r="C3" s="29">
        <v>270</v>
      </c>
      <c r="D3" s="12"/>
      <c r="M3" s="193">
        <v>2</v>
      </c>
      <c r="N3" s="31" t="s">
        <v>32</v>
      </c>
      <c r="O3" s="32">
        <f>C36</f>
        <v>1241</v>
      </c>
    </row>
    <row r="4" spans="1:15" x14ac:dyDescent="0.2">
      <c r="A4" s="27">
        <v>3</v>
      </c>
      <c r="B4" s="28" t="s">
        <v>57</v>
      </c>
      <c r="C4" s="29">
        <v>485</v>
      </c>
      <c r="D4" s="12"/>
      <c r="M4" s="193">
        <v>3</v>
      </c>
      <c r="N4" s="31" t="s">
        <v>29</v>
      </c>
      <c r="O4" s="32">
        <f>C37</f>
        <v>119</v>
      </c>
    </row>
    <row r="5" spans="1:15" x14ac:dyDescent="0.2">
      <c r="A5" s="27">
        <v>4</v>
      </c>
      <c r="B5" s="28" t="s">
        <v>53</v>
      </c>
      <c r="C5" s="29">
        <v>446</v>
      </c>
      <c r="D5" s="12"/>
      <c r="F5" s="20" t="s">
        <v>72</v>
      </c>
      <c r="M5" s="193">
        <v>4</v>
      </c>
      <c r="N5" s="28" t="s">
        <v>56</v>
      </c>
      <c r="O5" s="29">
        <f>C2</f>
        <v>923</v>
      </c>
    </row>
    <row r="6" spans="1:15" x14ac:dyDescent="0.2">
      <c r="A6" s="27">
        <v>5</v>
      </c>
      <c r="B6" s="28" t="s">
        <v>33</v>
      </c>
      <c r="C6" s="29">
        <v>3631</v>
      </c>
      <c r="D6" s="12"/>
      <c r="F6" s="22" t="s">
        <v>28</v>
      </c>
      <c r="G6" s="22"/>
      <c r="H6" s="23">
        <f>SUM(C2:C20)</f>
        <v>38954</v>
      </c>
      <c r="M6" s="193">
        <v>5</v>
      </c>
      <c r="N6" s="31" t="s">
        <v>26</v>
      </c>
      <c r="O6" s="32">
        <f>C38</f>
        <v>1195</v>
      </c>
    </row>
    <row r="7" spans="1:15" x14ac:dyDescent="0.2">
      <c r="A7" s="27">
        <v>6</v>
      </c>
      <c r="B7" s="28" t="s">
        <v>10</v>
      </c>
      <c r="C7" s="29">
        <v>3313</v>
      </c>
      <c r="D7" s="12"/>
      <c r="F7" s="34" t="s">
        <v>64</v>
      </c>
      <c r="G7" s="34"/>
      <c r="H7" s="35">
        <f>SUM(C21:C33)</f>
        <v>10479</v>
      </c>
      <c r="M7" s="193">
        <v>6</v>
      </c>
      <c r="N7" s="31" t="s">
        <v>48</v>
      </c>
      <c r="O7" s="32">
        <f>C39</f>
        <v>663</v>
      </c>
    </row>
    <row r="8" spans="1:15" x14ac:dyDescent="0.2">
      <c r="A8" s="27">
        <v>7</v>
      </c>
      <c r="B8" s="28" t="s">
        <v>15</v>
      </c>
      <c r="C8" s="29">
        <v>2644</v>
      </c>
      <c r="D8" s="12"/>
      <c r="F8" s="19" t="s">
        <v>16</v>
      </c>
      <c r="G8" s="19"/>
      <c r="H8" s="33">
        <f>SUM(C34:C54)</f>
        <v>24276</v>
      </c>
      <c r="M8" s="193">
        <v>7</v>
      </c>
      <c r="N8" s="28" t="s">
        <v>18</v>
      </c>
      <c r="O8" s="29">
        <f>C3</f>
        <v>270</v>
      </c>
    </row>
    <row r="9" spans="1:15" x14ac:dyDescent="0.2">
      <c r="A9" s="27">
        <v>8</v>
      </c>
      <c r="B9" s="28" t="s">
        <v>28</v>
      </c>
      <c r="C9" s="30">
        <v>12618</v>
      </c>
      <c r="D9" s="12"/>
      <c r="H9" s="21">
        <f>SUM(H6:H8)</f>
        <v>73709</v>
      </c>
      <c r="M9" s="193">
        <v>8</v>
      </c>
      <c r="N9" s="31" t="s">
        <v>44</v>
      </c>
      <c r="O9" s="32">
        <f>C40</f>
        <v>645</v>
      </c>
    </row>
    <row r="10" spans="1:15" x14ac:dyDescent="0.2">
      <c r="A10" s="27">
        <v>9</v>
      </c>
      <c r="B10" s="28" t="s">
        <v>42</v>
      </c>
      <c r="C10" s="30">
        <v>1371</v>
      </c>
      <c r="D10" s="12"/>
      <c r="M10" s="193">
        <v>9</v>
      </c>
      <c r="N10" s="28" t="s">
        <v>57</v>
      </c>
      <c r="O10" s="29">
        <f>C4</f>
        <v>485</v>
      </c>
    </row>
    <row r="11" spans="1:15" x14ac:dyDescent="0.2">
      <c r="A11" s="27">
        <v>10</v>
      </c>
      <c r="B11" s="28" t="s">
        <v>23</v>
      </c>
      <c r="C11" s="30">
        <v>118</v>
      </c>
      <c r="D11" s="17"/>
      <c r="M11" s="193">
        <v>10</v>
      </c>
      <c r="N11" s="31" t="s">
        <v>37</v>
      </c>
      <c r="O11" s="32">
        <f>C41</f>
        <v>1263</v>
      </c>
    </row>
    <row r="12" spans="1:15" x14ac:dyDescent="0.2">
      <c r="A12" s="27">
        <v>11</v>
      </c>
      <c r="B12" s="28" t="s">
        <v>22</v>
      </c>
      <c r="C12" s="30">
        <v>7167</v>
      </c>
      <c r="D12" s="17"/>
      <c r="M12" s="193">
        <v>11</v>
      </c>
      <c r="N12" s="31" t="s">
        <v>51</v>
      </c>
      <c r="O12" s="32">
        <f>C42</f>
        <v>740</v>
      </c>
    </row>
    <row r="13" spans="1:15" x14ac:dyDescent="0.2">
      <c r="A13" s="27">
        <v>12</v>
      </c>
      <c r="B13" s="28" t="s">
        <v>13</v>
      </c>
      <c r="C13" s="30">
        <v>528</v>
      </c>
      <c r="D13" s="17"/>
      <c r="M13" s="193">
        <v>12</v>
      </c>
      <c r="N13" s="31" t="s">
        <v>8</v>
      </c>
      <c r="O13" s="32">
        <f>C43</f>
        <v>1028</v>
      </c>
    </row>
    <row r="14" spans="1:15" x14ac:dyDescent="0.2">
      <c r="A14" s="27">
        <v>13</v>
      </c>
      <c r="B14" s="28" t="s">
        <v>17</v>
      </c>
      <c r="C14" s="30">
        <v>108</v>
      </c>
      <c r="D14" s="17"/>
      <c r="M14" s="193">
        <v>13</v>
      </c>
      <c r="N14" s="28" t="s">
        <v>53</v>
      </c>
      <c r="O14" s="29">
        <f>C5</f>
        <v>446</v>
      </c>
    </row>
    <row r="15" spans="1:15" x14ac:dyDescent="0.2">
      <c r="A15" s="27">
        <v>14</v>
      </c>
      <c r="B15" s="28" t="s">
        <v>43</v>
      </c>
      <c r="C15" s="30">
        <v>415</v>
      </c>
      <c r="D15" s="17"/>
      <c r="M15" s="193">
        <v>14</v>
      </c>
      <c r="N15" s="31" t="s">
        <v>24</v>
      </c>
      <c r="O15" s="32">
        <f>C44</f>
        <v>314</v>
      </c>
    </row>
    <row r="16" spans="1:15" x14ac:dyDescent="0.2">
      <c r="A16" s="27">
        <v>15</v>
      </c>
      <c r="B16" s="28" t="s">
        <v>40</v>
      </c>
      <c r="C16" s="30">
        <v>349</v>
      </c>
      <c r="D16" s="17"/>
      <c r="M16" s="193">
        <v>15</v>
      </c>
      <c r="N16" s="31" t="s">
        <v>9</v>
      </c>
      <c r="O16" s="32">
        <f>C45</f>
        <v>2400</v>
      </c>
    </row>
    <row r="17" spans="1:15" x14ac:dyDescent="0.2">
      <c r="A17" s="27">
        <v>16</v>
      </c>
      <c r="B17" s="28" t="s">
        <v>31</v>
      </c>
      <c r="C17" s="30">
        <v>687</v>
      </c>
      <c r="D17" s="17"/>
      <c r="M17" s="193">
        <v>16</v>
      </c>
      <c r="N17" s="28" t="s">
        <v>33</v>
      </c>
      <c r="O17" s="29">
        <f>C6</f>
        <v>3631</v>
      </c>
    </row>
    <row r="18" spans="1:15" x14ac:dyDescent="0.2">
      <c r="A18" s="27">
        <v>17</v>
      </c>
      <c r="B18" s="28" t="s">
        <v>12</v>
      </c>
      <c r="C18" s="30">
        <v>255</v>
      </c>
      <c r="D18" s="17"/>
      <c r="M18" s="193">
        <v>17</v>
      </c>
      <c r="N18" s="28" t="s">
        <v>10</v>
      </c>
      <c r="O18" s="29">
        <f>C7</f>
        <v>3313</v>
      </c>
    </row>
    <row r="19" spans="1:15" x14ac:dyDescent="0.2">
      <c r="A19" s="27">
        <v>18</v>
      </c>
      <c r="B19" s="28" t="s">
        <v>59</v>
      </c>
      <c r="C19" s="30">
        <v>436</v>
      </c>
      <c r="D19" s="17"/>
      <c r="M19" s="193">
        <v>18</v>
      </c>
      <c r="N19" s="31" t="s">
        <v>62</v>
      </c>
      <c r="O19" s="32">
        <f>C46</f>
        <v>755</v>
      </c>
    </row>
    <row r="20" spans="1:15" x14ac:dyDescent="0.2">
      <c r="A20" s="27">
        <v>19</v>
      </c>
      <c r="B20" s="28" t="s">
        <v>27</v>
      </c>
      <c r="C20" s="30">
        <v>3190</v>
      </c>
      <c r="D20" s="17"/>
      <c r="M20" s="193">
        <v>19</v>
      </c>
      <c r="N20" s="28" t="s">
        <v>15</v>
      </c>
      <c r="O20" s="29">
        <f>C8</f>
        <v>2644</v>
      </c>
    </row>
    <row r="21" spans="1:15" x14ac:dyDescent="0.2">
      <c r="A21" s="24">
        <v>20</v>
      </c>
      <c r="B21" s="25" t="s">
        <v>30</v>
      </c>
      <c r="C21" s="26">
        <v>324</v>
      </c>
      <c r="D21" s="17"/>
      <c r="M21" s="193">
        <v>20</v>
      </c>
      <c r="N21" s="31" t="s">
        <v>46</v>
      </c>
      <c r="O21" s="32">
        <f>C47</f>
        <v>181</v>
      </c>
    </row>
    <row r="22" spans="1:15" x14ac:dyDescent="0.2">
      <c r="A22" s="24">
        <v>21</v>
      </c>
      <c r="B22" s="25" t="s">
        <v>20</v>
      </c>
      <c r="C22" s="26">
        <v>1246</v>
      </c>
      <c r="D22" s="17"/>
      <c r="M22" s="193">
        <v>21</v>
      </c>
      <c r="N22" s="28" t="s">
        <v>28</v>
      </c>
      <c r="O22" s="30">
        <f>C9</f>
        <v>12618</v>
      </c>
    </row>
    <row r="23" spans="1:15" x14ac:dyDescent="0.2">
      <c r="A23" s="24">
        <v>22</v>
      </c>
      <c r="B23" s="25" t="s">
        <v>45</v>
      </c>
      <c r="C23" s="26">
        <v>1528</v>
      </c>
      <c r="D23" s="17"/>
      <c r="E23" s="12"/>
      <c r="M23" s="193">
        <v>22</v>
      </c>
      <c r="N23" s="28" t="s">
        <v>42</v>
      </c>
      <c r="O23" s="30">
        <f>C10</f>
        <v>1371</v>
      </c>
    </row>
    <row r="24" spans="1:15" x14ac:dyDescent="0.2">
      <c r="A24" s="24">
        <v>23</v>
      </c>
      <c r="B24" s="25" t="s">
        <v>71</v>
      </c>
      <c r="C24" s="26">
        <v>96</v>
      </c>
      <c r="D24" s="17"/>
      <c r="M24" s="193">
        <v>23</v>
      </c>
      <c r="N24" s="28" t="s">
        <v>23</v>
      </c>
      <c r="O24" s="30">
        <f>C11</f>
        <v>118</v>
      </c>
    </row>
    <row r="25" spans="1:15" x14ac:dyDescent="0.2">
      <c r="A25" s="24">
        <v>24</v>
      </c>
      <c r="B25" s="25" t="s">
        <v>39</v>
      </c>
      <c r="C25" s="26">
        <v>149</v>
      </c>
      <c r="D25" s="17"/>
      <c r="M25" s="193">
        <v>24</v>
      </c>
      <c r="N25" s="31" t="s">
        <v>35</v>
      </c>
      <c r="O25" s="32">
        <f>C48</f>
        <v>347</v>
      </c>
    </row>
    <row r="26" spans="1:15" x14ac:dyDescent="0.2">
      <c r="A26" s="24">
        <v>25</v>
      </c>
      <c r="B26" s="25" t="s">
        <v>19</v>
      </c>
      <c r="C26" s="26">
        <v>516</v>
      </c>
      <c r="D26" s="17"/>
      <c r="M26" s="193">
        <v>25</v>
      </c>
      <c r="N26" s="31" t="s">
        <v>49</v>
      </c>
      <c r="O26" s="32">
        <f>C49</f>
        <v>1690</v>
      </c>
    </row>
    <row r="27" spans="1:15" x14ac:dyDescent="0.2">
      <c r="A27" s="24">
        <v>26</v>
      </c>
      <c r="B27" s="25" t="s">
        <v>41</v>
      </c>
      <c r="C27" s="26">
        <v>671</v>
      </c>
      <c r="D27" s="17"/>
      <c r="M27" s="193">
        <v>26</v>
      </c>
      <c r="N27" s="31" t="s">
        <v>47</v>
      </c>
      <c r="O27" s="32">
        <f>C50</f>
        <v>387</v>
      </c>
    </row>
    <row r="28" spans="1:15" x14ac:dyDescent="0.2">
      <c r="A28" s="24">
        <v>27</v>
      </c>
      <c r="B28" s="25" t="s">
        <v>36</v>
      </c>
      <c r="C28" s="26">
        <v>572</v>
      </c>
      <c r="D28" s="17"/>
      <c r="M28" s="193">
        <v>27</v>
      </c>
      <c r="N28" s="31" t="s">
        <v>58</v>
      </c>
      <c r="O28" s="32">
        <f>C51</f>
        <v>1096</v>
      </c>
    </row>
    <row r="29" spans="1:15" x14ac:dyDescent="0.2">
      <c r="A29" s="24">
        <v>28</v>
      </c>
      <c r="B29" s="25" t="s">
        <v>7</v>
      </c>
      <c r="C29" s="26">
        <v>490</v>
      </c>
      <c r="D29" s="17"/>
      <c r="M29" s="193">
        <v>28</v>
      </c>
      <c r="N29" s="28" t="s">
        <v>22</v>
      </c>
      <c r="O29" s="30">
        <f>C12</f>
        <v>7167</v>
      </c>
    </row>
    <row r="30" spans="1:15" x14ac:dyDescent="0.2">
      <c r="A30" s="24">
        <v>29</v>
      </c>
      <c r="B30" s="25" t="s">
        <v>55</v>
      </c>
      <c r="C30" s="26">
        <v>1914</v>
      </c>
      <c r="D30" s="17"/>
      <c r="M30" s="193">
        <v>29</v>
      </c>
      <c r="N30" s="31" t="s">
        <v>14</v>
      </c>
      <c r="O30" s="32">
        <f>C35</f>
        <v>1135</v>
      </c>
    </row>
    <row r="31" spans="1:15" x14ac:dyDescent="0.2">
      <c r="A31" s="24">
        <v>30</v>
      </c>
      <c r="B31" s="25" t="s">
        <v>21</v>
      </c>
      <c r="C31" s="26">
        <v>2615</v>
      </c>
      <c r="D31" s="17"/>
      <c r="M31" s="193">
        <v>30</v>
      </c>
      <c r="N31" s="25" t="s">
        <v>71</v>
      </c>
      <c r="O31" s="26">
        <f>C24</f>
        <v>96</v>
      </c>
    </row>
    <row r="32" spans="1:15" x14ac:dyDescent="0.2">
      <c r="A32" s="24">
        <v>31</v>
      </c>
      <c r="B32" s="25" t="s">
        <v>6</v>
      </c>
      <c r="C32" s="26">
        <v>227</v>
      </c>
      <c r="D32" s="17"/>
      <c r="M32" s="193">
        <v>31</v>
      </c>
      <c r="N32" s="25" t="s">
        <v>41</v>
      </c>
      <c r="O32" s="26">
        <f>C27</f>
        <v>671</v>
      </c>
    </row>
    <row r="33" spans="1:15" x14ac:dyDescent="0.2">
      <c r="A33" s="24">
        <v>32</v>
      </c>
      <c r="B33" s="25" t="s">
        <v>34</v>
      </c>
      <c r="C33" s="26">
        <v>131</v>
      </c>
      <c r="D33" s="17"/>
      <c r="M33" s="193">
        <v>32</v>
      </c>
      <c r="N33" s="25" t="s">
        <v>30</v>
      </c>
      <c r="O33" s="26">
        <f>C21</f>
        <v>324</v>
      </c>
    </row>
    <row r="34" spans="1:15" x14ac:dyDescent="0.2">
      <c r="A34" s="19">
        <v>33</v>
      </c>
      <c r="B34" s="31" t="s">
        <v>52</v>
      </c>
      <c r="C34" s="32">
        <v>1895</v>
      </c>
      <c r="D34" s="17"/>
      <c r="M34" s="193">
        <v>33</v>
      </c>
      <c r="N34" s="25" t="s">
        <v>55</v>
      </c>
      <c r="O34" s="26">
        <f>C30</f>
        <v>1914</v>
      </c>
    </row>
    <row r="35" spans="1:15" x14ac:dyDescent="0.2">
      <c r="A35" s="19">
        <v>34</v>
      </c>
      <c r="B35" s="31" t="s">
        <v>14</v>
      </c>
      <c r="C35" s="32">
        <v>1135</v>
      </c>
      <c r="D35" s="17"/>
      <c r="M35" s="193">
        <v>34</v>
      </c>
      <c r="N35" s="25" t="s">
        <v>20</v>
      </c>
      <c r="O35" s="26">
        <f>C22</f>
        <v>1246</v>
      </c>
    </row>
    <row r="36" spans="1:15" x14ac:dyDescent="0.2">
      <c r="A36" s="19">
        <v>35</v>
      </c>
      <c r="B36" s="31" t="s">
        <v>32</v>
      </c>
      <c r="C36" s="32">
        <v>1241</v>
      </c>
      <c r="D36" s="17"/>
      <c r="E36" s="12"/>
      <c r="M36" s="193">
        <v>35</v>
      </c>
      <c r="N36" s="25" t="s">
        <v>45</v>
      </c>
      <c r="O36" s="26">
        <f>C23</f>
        <v>1528</v>
      </c>
    </row>
    <row r="37" spans="1:15" x14ac:dyDescent="0.2">
      <c r="A37" s="19">
        <v>36</v>
      </c>
      <c r="B37" s="31" t="s">
        <v>29</v>
      </c>
      <c r="C37" s="32">
        <v>119</v>
      </c>
      <c r="D37" s="17"/>
      <c r="M37" s="193">
        <v>36</v>
      </c>
      <c r="N37" s="25" t="s">
        <v>39</v>
      </c>
      <c r="O37" s="26">
        <f>C25</f>
        <v>149</v>
      </c>
    </row>
    <row r="38" spans="1:15" x14ac:dyDescent="0.2">
      <c r="A38" s="19">
        <v>37</v>
      </c>
      <c r="B38" s="31" t="s">
        <v>26</v>
      </c>
      <c r="C38" s="32">
        <v>1195</v>
      </c>
      <c r="D38" s="17"/>
      <c r="M38" s="193">
        <v>37</v>
      </c>
      <c r="N38" s="25" t="s">
        <v>19</v>
      </c>
      <c r="O38" s="26">
        <f>C26</f>
        <v>516</v>
      </c>
    </row>
    <row r="39" spans="1:15" x14ac:dyDescent="0.2">
      <c r="A39" s="19">
        <v>38</v>
      </c>
      <c r="B39" s="31" t="s">
        <v>48</v>
      </c>
      <c r="C39" s="32">
        <v>663</v>
      </c>
      <c r="D39" s="17"/>
      <c r="M39" s="193">
        <v>38</v>
      </c>
      <c r="N39" s="31" t="s">
        <v>50</v>
      </c>
      <c r="O39" s="16">
        <f>C52</f>
        <v>188</v>
      </c>
    </row>
    <row r="40" spans="1:15" x14ac:dyDescent="0.2">
      <c r="A40" s="19">
        <v>39</v>
      </c>
      <c r="B40" s="31" t="s">
        <v>44</v>
      </c>
      <c r="C40" s="32">
        <v>645</v>
      </c>
      <c r="D40" s="17"/>
      <c r="M40" s="193">
        <v>39</v>
      </c>
      <c r="N40" s="28" t="s">
        <v>13</v>
      </c>
      <c r="O40" s="30">
        <f>C13</f>
        <v>528</v>
      </c>
    </row>
    <row r="41" spans="1:15" x14ac:dyDescent="0.2">
      <c r="A41" s="19">
        <v>40</v>
      </c>
      <c r="B41" s="31" t="s">
        <v>37</v>
      </c>
      <c r="C41" s="32">
        <v>1263</v>
      </c>
      <c r="D41" s="17"/>
      <c r="M41" s="193">
        <v>40</v>
      </c>
      <c r="N41" s="28" t="s">
        <v>17</v>
      </c>
      <c r="O41" s="30">
        <f>C14</f>
        <v>108</v>
      </c>
    </row>
    <row r="42" spans="1:15" x14ac:dyDescent="0.2">
      <c r="A42" s="19">
        <v>41</v>
      </c>
      <c r="B42" s="31" t="s">
        <v>51</v>
      </c>
      <c r="C42" s="32">
        <v>740</v>
      </c>
      <c r="D42" s="17"/>
      <c r="M42" s="193">
        <v>41</v>
      </c>
      <c r="N42" s="25" t="s">
        <v>36</v>
      </c>
      <c r="O42" s="26">
        <f>C28</f>
        <v>572</v>
      </c>
    </row>
    <row r="43" spans="1:15" x14ac:dyDescent="0.2">
      <c r="A43" s="19">
        <v>42</v>
      </c>
      <c r="B43" s="31" t="s">
        <v>8</v>
      </c>
      <c r="C43" s="32">
        <v>1028</v>
      </c>
      <c r="D43" s="17"/>
      <c r="M43" s="193">
        <v>42</v>
      </c>
      <c r="N43" s="28" t="s">
        <v>43</v>
      </c>
      <c r="O43" s="30">
        <f>C15</f>
        <v>415</v>
      </c>
    </row>
    <row r="44" spans="1:15" x14ac:dyDescent="0.2">
      <c r="A44" s="19">
        <v>43</v>
      </c>
      <c r="B44" s="31" t="s">
        <v>24</v>
      </c>
      <c r="C44" s="32">
        <v>314</v>
      </c>
      <c r="D44" s="17"/>
      <c r="M44" s="193">
        <v>43</v>
      </c>
      <c r="N44" s="25" t="s">
        <v>7</v>
      </c>
      <c r="O44" s="26">
        <f>C29</f>
        <v>490</v>
      </c>
    </row>
    <row r="45" spans="1:15" x14ac:dyDescent="0.2">
      <c r="A45" s="19">
        <v>44</v>
      </c>
      <c r="B45" s="31" t="s">
        <v>9</v>
      </c>
      <c r="C45" s="32">
        <v>2400</v>
      </c>
      <c r="D45" s="17"/>
      <c r="M45" s="193">
        <v>44</v>
      </c>
      <c r="N45" s="28" t="s">
        <v>40</v>
      </c>
      <c r="O45" s="30">
        <f>C16</f>
        <v>349</v>
      </c>
    </row>
    <row r="46" spans="1:15" x14ac:dyDescent="0.2">
      <c r="A46" s="19">
        <v>45</v>
      </c>
      <c r="B46" s="31" t="s">
        <v>62</v>
      </c>
      <c r="C46" s="32">
        <v>755</v>
      </c>
      <c r="D46" s="17"/>
      <c r="M46" s="193">
        <v>45</v>
      </c>
      <c r="N46" s="31" t="s">
        <v>16</v>
      </c>
      <c r="O46" s="16">
        <f>C53</f>
        <v>6434</v>
      </c>
    </row>
    <row r="47" spans="1:15" x14ac:dyDescent="0.2">
      <c r="A47" s="19">
        <v>46</v>
      </c>
      <c r="B47" s="31" t="s">
        <v>46</v>
      </c>
      <c r="C47" s="32">
        <v>181</v>
      </c>
      <c r="D47" s="17"/>
      <c r="M47" s="193">
        <v>46</v>
      </c>
      <c r="N47" s="28" t="s">
        <v>31</v>
      </c>
      <c r="O47" s="30">
        <f>C17</f>
        <v>687</v>
      </c>
    </row>
    <row r="48" spans="1:15" x14ac:dyDescent="0.2">
      <c r="A48" s="19">
        <v>47</v>
      </c>
      <c r="B48" s="31" t="s">
        <v>35</v>
      </c>
      <c r="C48" s="32">
        <v>347</v>
      </c>
      <c r="D48" s="17"/>
      <c r="M48" s="193">
        <v>47</v>
      </c>
      <c r="N48" s="25" t="s">
        <v>21</v>
      </c>
      <c r="O48" s="26">
        <f>C31</f>
        <v>2615</v>
      </c>
    </row>
    <row r="49" spans="1:15" x14ac:dyDescent="0.2">
      <c r="A49" s="19">
        <v>48</v>
      </c>
      <c r="B49" s="31" t="s">
        <v>49</v>
      </c>
      <c r="C49" s="32">
        <v>1690</v>
      </c>
      <c r="D49" s="17"/>
      <c r="M49" s="193">
        <v>48</v>
      </c>
      <c r="N49" s="25" t="s">
        <v>6</v>
      </c>
      <c r="O49" s="26">
        <f>C32</f>
        <v>227</v>
      </c>
    </row>
    <row r="50" spans="1:15" x14ac:dyDescent="0.2">
      <c r="A50" s="19">
        <v>49</v>
      </c>
      <c r="B50" s="31" t="s">
        <v>47</v>
      </c>
      <c r="C50" s="32">
        <v>387</v>
      </c>
      <c r="D50" s="17"/>
      <c r="M50" s="193">
        <v>49</v>
      </c>
      <c r="N50" s="28" t="s">
        <v>12</v>
      </c>
      <c r="O50" s="30">
        <f>C18</f>
        <v>255</v>
      </c>
    </row>
    <row r="51" spans="1:15" x14ac:dyDescent="0.2">
      <c r="A51" s="19">
        <v>50</v>
      </c>
      <c r="B51" s="31" t="s">
        <v>58</v>
      </c>
      <c r="C51" s="32">
        <v>1096</v>
      </c>
      <c r="D51" s="17"/>
      <c r="M51" s="193">
        <v>50</v>
      </c>
      <c r="N51" s="25" t="s">
        <v>34</v>
      </c>
      <c r="O51" s="26">
        <f>C33</f>
        <v>131</v>
      </c>
    </row>
    <row r="52" spans="1:15" x14ac:dyDescent="0.2">
      <c r="A52" s="19">
        <v>51</v>
      </c>
      <c r="B52" s="31" t="s">
        <v>50</v>
      </c>
      <c r="C52" s="16">
        <v>188</v>
      </c>
      <c r="D52" s="17"/>
      <c r="M52" s="193">
        <v>51</v>
      </c>
      <c r="N52" s="28" t="s">
        <v>59</v>
      </c>
      <c r="O52" s="30">
        <f>C19</f>
        <v>436</v>
      </c>
    </row>
    <row r="53" spans="1:15" x14ac:dyDescent="0.2">
      <c r="A53" s="19">
        <v>52</v>
      </c>
      <c r="B53" s="31" t="s">
        <v>16</v>
      </c>
      <c r="C53" s="16">
        <v>6434</v>
      </c>
      <c r="D53" s="17"/>
      <c r="M53" s="193">
        <v>52</v>
      </c>
      <c r="N53" s="28" t="s">
        <v>27</v>
      </c>
      <c r="O53" s="30">
        <f>C20</f>
        <v>3190</v>
      </c>
    </row>
    <row r="54" spans="1:15" x14ac:dyDescent="0.2">
      <c r="A54" s="19">
        <v>53</v>
      </c>
      <c r="B54" s="31" t="s">
        <v>25</v>
      </c>
      <c r="C54" s="33">
        <v>560</v>
      </c>
      <c r="D54" s="17"/>
      <c r="M54" s="193">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6">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0">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3">
        <f t="shared" si="43"/>
        <v>2257613.4299999992</v>
      </c>
      <c r="BH216" s="203">
        <f t="shared" si="44"/>
        <v>-1986621.7200000004</v>
      </c>
      <c r="BI216" s="203">
        <f t="shared" si="45"/>
        <v>3830148.2800000003</v>
      </c>
      <c r="BJ216" s="203">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8">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3">
        <f t="shared" si="43"/>
        <v>85593122.990000024</v>
      </c>
      <c r="BH217" s="203">
        <f t="shared" si="44"/>
        <v>21034620.32</v>
      </c>
      <c r="BI217" s="203">
        <f t="shared" si="45"/>
        <v>25511532.739999998</v>
      </c>
      <c r="BJ217" s="203">
        <f t="shared" si="46"/>
        <v>39046969.929999992</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1">
        <f>F220+F221</f>
        <v>338069</v>
      </c>
      <c r="G223" s="181">
        <f t="shared" ref="G223:BJ223" si="53">G220+G221</f>
        <v>183367.53000000003</v>
      </c>
      <c r="H223" s="181">
        <f t="shared" si="53"/>
        <v>-29321.279999999999</v>
      </c>
      <c r="I223" s="181">
        <f t="shared" si="53"/>
        <v>35050.58</v>
      </c>
      <c r="J223" s="181">
        <f t="shared" si="53"/>
        <v>461623.62999999995</v>
      </c>
      <c r="K223" s="181">
        <f t="shared" si="53"/>
        <v>1051215.94</v>
      </c>
      <c r="L223" s="181">
        <f t="shared" si="53"/>
        <v>253856.48</v>
      </c>
      <c r="M223" s="181">
        <f t="shared" si="53"/>
        <v>2089673.1800000002</v>
      </c>
      <c r="N223" s="181">
        <f t="shared" si="53"/>
        <v>-1352.8600000000151</v>
      </c>
      <c r="O223" s="181">
        <f t="shared" si="53"/>
        <v>-63918.92</v>
      </c>
      <c r="P223" s="181">
        <f t="shared" si="53"/>
        <v>-1177403.47</v>
      </c>
      <c r="Q223" s="181">
        <f t="shared" si="53"/>
        <v>-93731.8</v>
      </c>
      <c r="R223" s="181">
        <f t="shared" si="53"/>
        <v>-9460.8100000000013</v>
      </c>
      <c r="S223" s="181">
        <f t="shared" si="53"/>
        <v>-16853.579999999998</v>
      </c>
      <c r="T223" s="181">
        <f t="shared" si="53"/>
        <v>-13071.369999999995</v>
      </c>
      <c r="U223" s="181">
        <f t="shared" si="53"/>
        <v>262757.42</v>
      </c>
      <c r="V223" s="181">
        <f t="shared" si="53"/>
        <v>9048.7099999999991</v>
      </c>
      <c r="W223" s="181">
        <f t="shared" si="53"/>
        <v>-152377.16</v>
      </c>
      <c r="X223" s="181">
        <f t="shared" si="53"/>
        <v>364711.41000000003</v>
      </c>
      <c r="Y223" s="181">
        <f t="shared" si="53"/>
        <v>26286.14</v>
      </c>
      <c r="Z223" s="181">
        <f t="shared" si="53"/>
        <v>178997.68</v>
      </c>
      <c r="AA223" s="181">
        <f t="shared" si="53"/>
        <v>3517719.9899999998</v>
      </c>
      <c r="AB223" s="181">
        <f t="shared" si="53"/>
        <v>-11170.27</v>
      </c>
      <c r="AC223" s="181">
        <f t="shared" si="53"/>
        <v>41421.78</v>
      </c>
      <c r="AD223" s="181">
        <f t="shared" si="53"/>
        <v>-114596.97</v>
      </c>
      <c r="AE223" s="181">
        <f t="shared" si="53"/>
        <v>-99000.459999999992</v>
      </c>
      <c r="AF223" s="181">
        <f t="shared" si="53"/>
        <v>-194273.68</v>
      </c>
      <c r="AG223" s="181">
        <f t="shared" si="53"/>
        <v>122538.76</v>
      </c>
      <c r="AH223" s="181">
        <f t="shared" si="53"/>
        <v>1107210.3</v>
      </c>
      <c r="AI223" s="181">
        <f t="shared" si="53"/>
        <v>243887.35</v>
      </c>
      <c r="AJ223" s="181">
        <f t="shared" si="53"/>
        <v>-60989.77</v>
      </c>
      <c r="AK223" s="181">
        <f t="shared" si="53"/>
        <v>22586.400000000001</v>
      </c>
      <c r="AL223" s="181">
        <f t="shared" si="53"/>
        <v>153720</v>
      </c>
      <c r="AM223" s="181">
        <f t="shared" si="53"/>
        <v>-32824.589999999997</v>
      </c>
      <c r="AN223" s="181">
        <f t="shared" si="53"/>
        <v>-5589.7700000000041</v>
      </c>
      <c r="AO223" s="181">
        <f t="shared" si="53"/>
        <v>13711.05</v>
      </c>
      <c r="AP223" s="181">
        <f t="shared" si="53"/>
        <v>341994.52</v>
      </c>
      <c r="AQ223" s="181">
        <f t="shared" si="53"/>
        <v>197653.74000000002</v>
      </c>
      <c r="AR223" s="181">
        <f t="shared" si="53"/>
        <v>23915.769999999997</v>
      </c>
      <c r="AS223" s="181">
        <f t="shared" si="53"/>
        <v>50671.79</v>
      </c>
      <c r="AT223" s="181">
        <f t="shared" si="53"/>
        <v>16082.760000000002</v>
      </c>
      <c r="AU223" s="181">
        <f t="shared" si="53"/>
        <v>35118.03</v>
      </c>
      <c r="AV223" s="181">
        <f t="shared" si="53"/>
        <v>112815.42</v>
      </c>
      <c r="AW223" s="181">
        <f t="shared" si="53"/>
        <v>-268507.58</v>
      </c>
      <c r="AX223" s="181">
        <f t="shared" si="53"/>
        <v>-9064.0300000000025</v>
      </c>
      <c r="AY223" s="181">
        <f t="shared" si="53"/>
        <v>29819.599999999999</v>
      </c>
      <c r="AZ223" s="181">
        <f t="shared" si="53"/>
        <v>73689.049999999988</v>
      </c>
      <c r="BA223" s="181">
        <f t="shared" si="53"/>
        <v>79042.83</v>
      </c>
      <c r="BB223" s="181">
        <f t="shared" si="53"/>
        <v>160878.04999999999</v>
      </c>
      <c r="BC223" s="181">
        <f t="shared" si="53"/>
        <v>192186.95</v>
      </c>
      <c r="BD223" s="181">
        <f t="shared" si="53"/>
        <v>-12634.7</v>
      </c>
      <c r="BE223" s="181">
        <f t="shared" si="53"/>
        <v>1253727.51</v>
      </c>
      <c r="BF223" s="181">
        <f t="shared" si="53"/>
        <v>67948.679999999993</v>
      </c>
      <c r="BG223" s="181">
        <f t="shared" si="53"/>
        <v>10746854.960000003</v>
      </c>
      <c r="BH223" s="181">
        <f t="shared" si="53"/>
        <v>3491882.63</v>
      </c>
      <c r="BI223" s="181">
        <f t="shared" si="53"/>
        <v>4780617.25</v>
      </c>
      <c r="BJ223" s="181">
        <f t="shared" si="53"/>
        <v>2474355.08</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0"/>
      <c r="D222" s="160"/>
      <c r="E222" s="160" t="s">
        <v>602</v>
      </c>
      <c r="F222" s="178"/>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7">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4" t="s">
        <v>268</v>
      </c>
      <c r="E2" s="89">
        <f>'5.2 Tableau bilan'!F188</f>
        <v>91838538.320000038</v>
      </c>
    </row>
    <row r="3" spans="2:5" x14ac:dyDescent="0.25">
      <c r="B3" s="78">
        <v>291</v>
      </c>
      <c r="C3" s="78"/>
      <c r="D3" s="134" t="s">
        <v>269</v>
      </c>
      <c r="E3" s="89">
        <f>'5.2 Tableau bilan'!F191</f>
        <v>5824194.0499999998</v>
      </c>
    </row>
    <row r="4" spans="2:5" x14ac:dyDescent="0.25">
      <c r="B4" s="78">
        <v>292</v>
      </c>
      <c r="C4" s="78"/>
      <c r="D4" s="134" t="s">
        <v>270</v>
      </c>
      <c r="E4" s="89">
        <f>'5.2 Tableau bilan'!F195</f>
        <v>2171523.7999999998</v>
      </c>
    </row>
    <row r="5" spans="2:5" x14ac:dyDescent="0.25">
      <c r="B5" s="78">
        <v>293</v>
      </c>
      <c r="C5" s="78"/>
      <c r="D5" s="134" t="s">
        <v>271</v>
      </c>
      <c r="E5" s="89">
        <f>'5.2 Tableau bilan'!F198</f>
        <v>5019487.7799999993</v>
      </c>
    </row>
    <row r="6" spans="2:5" x14ac:dyDescent="0.25">
      <c r="B6" s="78">
        <v>294</v>
      </c>
      <c r="C6" s="78"/>
      <c r="D6" s="134" t="s">
        <v>272</v>
      </c>
      <c r="E6" s="89">
        <f>'5.2 Tableau bilan'!F201</f>
        <v>31038418.739999998</v>
      </c>
    </row>
    <row r="7" spans="2:5" x14ac:dyDescent="0.25">
      <c r="B7" s="78">
        <v>295</v>
      </c>
      <c r="C7" s="78"/>
      <c r="D7" s="134" t="s">
        <v>273</v>
      </c>
      <c r="E7" s="89">
        <f>'5.2 Tableau bilan'!F204</f>
        <v>96130.319999999992</v>
      </c>
    </row>
    <row r="8" spans="2:5" x14ac:dyDescent="0.25">
      <c r="B8" s="78">
        <v>296</v>
      </c>
      <c r="C8" s="78"/>
      <c r="D8" s="134" t="s">
        <v>274</v>
      </c>
      <c r="E8" s="89">
        <f>'5.2 Tableau bilan'!F207</f>
        <v>16454611.33</v>
      </c>
    </row>
    <row r="9" spans="2:5" x14ac:dyDescent="0.25">
      <c r="B9" s="78">
        <v>298</v>
      </c>
      <c r="C9" s="78"/>
      <c r="D9" s="134" t="s">
        <v>275</v>
      </c>
      <c r="E9" s="89">
        <f>'5.2 Tableau bilan'!F210</f>
        <v>146786.6</v>
      </c>
    </row>
    <row r="10" spans="2:5" x14ac:dyDescent="0.25">
      <c r="B10" s="78">
        <v>299</v>
      </c>
      <c r="C10" s="78"/>
      <c r="D10" s="134" t="s">
        <v>453</v>
      </c>
      <c r="E10" s="89">
        <f>'5.2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BD20/BD5</f>
        <v>7972.8417539242164</v>
      </c>
      <c r="BE21" s="173">
        <f t="shared" ref="BE21:BG21" si="5">BE20/BE5</f>
        <v>7806.7980358884834</v>
      </c>
      <c r="BF21" s="173">
        <f t="shared" si="5"/>
        <v>6683.1131606069266</v>
      </c>
      <c r="BG21" s="173">
        <f t="shared" si="5"/>
        <v>8796.005904597132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6">D9-D7</f>
        <v>1153471.1100000001</v>
      </c>
      <c r="E23" s="180">
        <f t="shared" si="6"/>
        <v>2152345.7399999993</v>
      </c>
      <c r="F23" s="180">
        <f t="shared" si="6"/>
        <v>279098.55999999959</v>
      </c>
      <c r="G23" s="180">
        <f t="shared" si="6"/>
        <v>11170166.720000001</v>
      </c>
      <c r="H23" s="180">
        <f t="shared" si="6"/>
        <v>16907788.280000001</v>
      </c>
      <c r="I23" s="180">
        <f t="shared" si="6"/>
        <v>1024849.9700000007</v>
      </c>
      <c r="J23" s="180">
        <f t="shared" si="6"/>
        <v>90861759.809999973</v>
      </c>
      <c r="K23" s="180">
        <f t="shared" si="6"/>
        <v>3075283.87</v>
      </c>
      <c r="L23" s="180">
        <f t="shared" si="6"/>
        <v>460672.40000000008</v>
      </c>
      <c r="M23" s="180">
        <f t="shared" si="6"/>
        <v>26943371.269999996</v>
      </c>
      <c r="N23" s="180">
        <f t="shared" si="6"/>
        <v>1367293.8900000001</v>
      </c>
      <c r="O23" s="180">
        <f t="shared" si="6"/>
        <v>245034.49999999994</v>
      </c>
      <c r="P23" s="180">
        <f t="shared" si="6"/>
        <v>1875698.62</v>
      </c>
      <c r="Q23" s="180">
        <f t="shared" si="6"/>
        <v>2088445.9300000002</v>
      </c>
      <c r="R23" s="180">
        <f t="shared" si="6"/>
        <v>205440.33000000101</v>
      </c>
      <c r="S23" s="180">
        <f t="shared" si="6"/>
        <v>266671.21000000008</v>
      </c>
      <c r="T23" s="180">
        <f t="shared" si="6"/>
        <v>1745113.8100000005</v>
      </c>
      <c r="U23" s="180">
        <f t="shared" si="6"/>
        <v>10830665.34</v>
      </c>
      <c r="V23" s="180">
        <f t="shared" si="6"/>
        <v>-1080510.5</v>
      </c>
      <c r="W23" s="180">
        <f t="shared" si="6"/>
        <v>7786577.9200000009</v>
      </c>
      <c r="X23" s="180">
        <f t="shared" si="6"/>
        <v>-9330221.8099999987</v>
      </c>
      <c r="Y23" s="180">
        <f t="shared" si="6"/>
        <v>135991.01</v>
      </c>
      <c r="Z23" s="180">
        <f t="shared" si="6"/>
        <v>-394266.68000000017</v>
      </c>
      <c r="AA23" s="180">
        <f t="shared" si="6"/>
        <v>795544.37999999942</v>
      </c>
      <c r="AB23" s="180">
        <f t="shared" si="6"/>
        <v>5398506.4100000011</v>
      </c>
      <c r="AC23" s="180">
        <f t="shared" si="6"/>
        <v>1285721.0300000003</v>
      </c>
      <c r="AD23" s="180">
        <f t="shared" si="6"/>
        <v>-3100962.9499999997</v>
      </c>
      <c r="AE23" s="180">
        <f t="shared" si="6"/>
        <v>-641556.43999999948</v>
      </c>
      <c r="AF23" s="180">
        <f t="shared" si="6"/>
        <v>10187147.34</v>
      </c>
      <c r="AG23" s="180">
        <f t="shared" si="6"/>
        <v>-118781.69999999995</v>
      </c>
      <c r="AH23" s="180">
        <f t="shared" si="6"/>
        <v>-1114795.5899999999</v>
      </c>
      <c r="AI23" s="180">
        <f t="shared" si="6"/>
        <v>12234275.83</v>
      </c>
      <c r="AJ23" s="180">
        <f t="shared" si="6"/>
        <v>5016254.2100000009</v>
      </c>
      <c r="AK23" s="180">
        <f t="shared" si="6"/>
        <v>6531766.3000000026</v>
      </c>
      <c r="AL23" s="180">
        <f t="shared" si="6"/>
        <v>1172309.7600000002</v>
      </c>
      <c r="AM23" s="180">
        <f t="shared" si="6"/>
        <v>-3843093.26</v>
      </c>
      <c r="AN23" s="180">
        <f t="shared" si="6"/>
        <v>1218796.6800000006</v>
      </c>
      <c r="AO23" s="180">
        <f t="shared" si="6"/>
        <v>928101.93000000017</v>
      </c>
      <c r="AP23" s="180">
        <f t="shared" si="6"/>
        <v>-1573158.0699999984</v>
      </c>
      <c r="AQ23" s="180">
        <f t="shared" si="6"/>
        <v>3349607.29</v>
      </c>
      <c r="AR23" s="180">
        <f t="shared" si="6"/>
        <v>4273584.87</v>
      </c>
      <c r="AS23" s="180">
        <f t="shared" si="6"/>
        <v>-1809164.0300000005</v>
      </c>
      <c r="AT23" s="180">
        <f t="shared" si="6"/>
        <v>8092477.2599999998</v>
      </c>
      <c r="AU23" s="180">
        <f t="shared" si="6"/>
        <v>2942305.2700000005</v>
      </c>
      <c r="AV23" s="180">
        <f t="shared" si="6"/>
        <v>303302.40000000002</v>
      </c>
      <c r="AW23" s="180">
        <f t="shared" si="6"/>
        <v>-28814.959999999963</v>
      </c>
      <c r="AX23" s="180">
        <f t="shared" si="6"/>
        <v>16166827.07</v>
      </c>
      <c r="AY23" s="180">
        <f t="shared" si="6"/>
        <v>-1285711.78</v>
      </c>
      <c r="AZ23" s="180">
        <f t="shared" si="6"/>
        <v>5956684.4200000009</v>
      </c>
      <c r="BA23" s="180">
        <f t="shared" si="6"/>
        <v>-570550.01</v>
      </c>
      <c r="BB23" s="180">
        <f t="shared" si="6"/>
        <v>38530094.520000011</v>
      </c>
      <c r="BC23" s="180">
        <f t="shared" si="6"/>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G24" si="7">D23/D5</f>
        <v>4272.1152222222227</v>
      </c>
      <c r="E24" s="173">
        <f t="shared" si="7"/>
        <v>4437.8262680412354</v>
      </c>
      <c r="F24" s="173">
        <f t="shared" si="7"/>
        <v>625.78152466367624</v>
      </c>
      <c r="G24" s="173">
        <f t="shared" si="7"/>
        <v>3076.3334398237403</v>
      </c>
      <c r="H24" s="173">
        <f t="shared" si="7"/>
        <v>5103.4676365831574</v>
      </c>
      <c r="I24" s="173">
        <f t="shared" si="7"/>
        <v>387.61345310136181</v>
      </c>
      <c r="J24" s="173">
        <f t="shared" si="7"/>
        <v>7200.9636875891565</v>
      </c>
      <c r="K24" s="173">
        <f t="shared" si="7"/>
        <v>2243.0954558716267</v>
      </c>
      <c r="L24" s="173">
        <f t="shared" si="7"/>
        <v>3904.0033898305091</v>
      </c>
      <c r="M24" s="173">
        <f t="shared" si="7"/>
        <v>3759.3653230082314</v>
      </c>
      <c r="N24" s="173">
        <f t="shared" si="7"/>
        <v>2589.5717613636366</v>
      </c>
      <c r="O24" s="173">
        <f t="shared" si="7"/>
        <v>2268.8379629629626</v>
      </c>
      <c r="P24" s="173">
        <f t="shared" si="7"/>
        <v>4519.7557108433739</v>
      </c>
      <c r="Q24" s="173">
        <f t="shared" si="7"/>
        <v>5984.085759312321</v>
      </c>
      <c r="R24" s="173">
        <f t="shared" si="7"/>
        <v>299.03978165939009</v>
      </c>
      <c r="S24" s="173">
        <f t="shared" si="7"/>
        <v>1045.7694509803925</v>
      </c>
      <c r="T24" s="173">
        <f t="shared" si="7"/>
        <v>4002.5546100917445</v>
      </c>
      <c r="U24" s="173">
        <f t="shared" si="7"/>
        <v>3395.1928965517241</v>
      </c>
      <c r="V24" s="173">
        <f t="shared" si="7"/>
        <v>-3334.9089506172841</v>
      </c>
      <c r="W24" s="173">
        <f t="shared" si="7"/>
        <v>6249.259967897272</v>
      </c>
      <c r="X24" s="173">
        <f t="shared" si="7"/>
        <v>-6106.1661060209417</v>
      </c>
      <c r="Y24" s="173">
        <f t="shared" si="7"/>
        <v>1416.5730208333334</v>
      </c>
      <c r="Z24" s="173">
        <f t="shared" si="7"/>
        <v>-2646.0851006711418</v>
      </c>
      <c r="AA24" s="173">
        <f t="shared" si="7"/>
        <v>1541.7526744186034</v>
      </c>
      <c r="AB24" s="173">
        <f t="shared" si="7"/>
        <v>8045.4640983606578</v>
      </c>
      <c r="AC24" s="173">
        <f t="shared" si="7"/>
        <v>2247.7640384615388</v>
      </c>
      <c r="AD24" s="173">
        <f t="shared" si="7"/>
        <v>-6328.4958163265301</v>
      </c>
      <c r="AE24" s="173">
        <f t="shared" si="7"/>
        <v>-335.19145245559014</v>
      </c>
      <c r="AF24" s="173">
        <f t="shared" si="7"/>
        <v>3895.6586386233271</v>
      </c>
      <c r="AG24" s="173">
        <f t="shared" si="7"/>
        <v>-523.26740088105703</v>
      </c>
      <c r="AH24" s="173">
        <f t="shared" si="7"/>
        <v>-8509.89</v>
      </c>
      <c r="AI24" s="173">
        <f t="shared" si="7"/>
        <v>6456.0822321899741</v>
      </c>
      <c r="AJ24" s="173">
        <f t="shared" si="7"/>
        <v>4419.6072334801765</v>
      </c>
      <c r="AK24" s="173">
        <f t="shared" si="7"/>
        <v>5263.3088638195022</v>
      </c>
      <c r="AL24" s="173">
        <f t="shared" si="7"/>
        <v>9851.342521008406</v>
      </c>
      <c r="AM24" s="173">
        <f t="shared" si="7"/>
        <v>-3215.977623430962</v>
      </c>
      <c r="AN24" s="173">
        <f t="shared" si="7"/>
        <v>1838.3057013574671</v>
      </c>
      <c r="AO24" s="173">
        <f t="shared" si="7"/>
        <v>1438.9177209302329</v>
      </c>
      <c r="AP24" s="173">
        <f t="shared" si="7"/>
        <v>-1245.5725019794129</v>
      </c>
      <c r="AQ24" s="173">
        <f t="shared" si="7"/>
        <v>4526.4963378378379</v>
      </c>
      <c r="AR24" s="173">
        <f t="shared" si="7"/>
        <v>4157.183725680934</v>
      </c>
      <c r="AS24" s="173">
        <f t="shared" si="7"/>
        <v>-5761.6688853503201</v>
      </c>
      <c r="AT24" s="173">
        <f t="shared" si="7"/>
        <v>3371.8655249999997</v>
      </c>
      <c r="AU24" s="173">
        <f t="shared" si="7"/>
        <v>3897.0930728476828</v>
      </c>
      <c r="AV24" s="173">
        <f t="shared" si="7"/>
        <v>1675.7038674033151</v>
      </c>
      <c r="AW24" s="173">
        <f t="shared" si="7"/>
        <v>-83.040230547550323</v>
      </c>
      <c r="AX24" s="173">
        <f t="shared" si="7"/>
        <v>9566.1698639053247</v>
      </c>
      <c r="AY24" s="173">
        <f t="shared" si="7"/>
        <v>-3322.2526614987082</v>
      </c>
      <c r="AZ24" s="173">
        <f t="shared" si="7"/>
        <v>5434.9310401459861</v>
      </c>
      <c r="BA24" s="173">
        <f t="shared" si="7"/>
        <v>-3034.8404787234044</v>
      </c>
      <c r="BB24" s="173">
        <f t="shared" si="7"/>
        <v>5988.513291886853</v>
      </c>
      <c r="BC24" s="173">
        <f t="shared" si="7"/>
        <v>3847.7301785714276</v>
      </c>
      <c r="BD24" s="173">
        <f t="shared" si="7"/>
        <v>3871.0733860179903</v>
      </c>
      <c r="BE24" s="173">
        <f t="shared" si="7"/>
        <v>4512.0894180315254</v>
      </c>
      <c r="BF24" s="173">
        <f t="shared" si="7"/>
        <v>936.00462066991156</v>
      </c>
      <c r="BG24" s="173">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0">
        <f>SUM(C42:BC42)</f>
        <v>538714835.05999994</v>
      </c>
      <c r="BE42" s="180">
        <f t="shared" ref="BE42" si="13">SUM(C42:U42)</f>
        <v>267409193.54999995</v>
      </c>
      <c r="BF42" s="180">
        <f t="shared" ref="BF42" si="14">SUM(V42:AH42)</f>
        <v>66360232.519999996</v>
      </c>
      <c r="BG42" s="180">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0">
        <f t="shared" si="17"/>
        <v>141329869.45999992</v>
      </c>
      <c r="BF45" s="180">
        <f t="shared" si="17"/>
        <v>11166293.910000011</v>
      </c>
      <c r="BG45" s="180">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5" t="s">
        <v>56</v>
      </c>
      <c r="B3" s="4">
        <f>'5.4 Tableau de l''endettement'!C20</f>
        <v>8787762.370000001</v>
      </c>
      <c r="C3" s="4">
        <f>'5.4 Tableau de l''endettement'!C21</f>
        <v>9520.8693066088854</v>
      </c>
      <c r="D3" s="4">
        <f>'5.4 Tableau de l''endettement'!C23</f>
        <v>3110759.83</v>
      </c>
      <c r="E3" s="4">
        <f>'5.4 Tableau de l''endettement'!C24</f>
        <v>3370.2706717226438</v>
      </c>
    </row>
    <row r="4" spans="1:5" x14ac:dyDescent="0.25">
      <c r="A4" s="205" t="s">
        <v>18</v>
      </c>
      <c r="B4" s="4">
        <f>'5.4 Tableau de l''endettement'!D20</f>
        <v>2487801.85</v>
      </c>
      <c r="C4" s="4">
        <f>'5.4 Tableau de l''endettement'!D21</f>
        <v>9214.0809259259258</v>
      </c>
      <c r="D4" s="4">
        <f>'5.4 Tableau de l''endettement'!D23</f>
        <v>1153471.1100000001</v>
      </c>
      <c r="E4" s="4">
        <f>'5.4 Tableau de l''endettement'!D24</f>
        <v>4272.1152222222227</v>
      </c>
    </row>
    <row r="5" spans="1:5" x14ac:dyDescent="0.25">
      <c r="A5" s="205" t="s">
        <v>57</v>
      </c>
      <c r="B5" s="4">
        <f>'5.4 Tableau de l''endettement'!E20</f>
        <v>5651890.2999999998</v>
      </c>
      <c r="C5" s="4">
        <f>'5.4 Tableau de l''endettement'!E21</f>
        <v>11653.382061855669</v>
      </c>
      <c r="D5" s="4">
        <f>'5.4 Tableau de l''endettement'!E23</f>
        <v>2152345.7399999993</v>
      </c>
      <c r="E5" s="4">
        <f>'5.4 Tableau de l''endettement'!E24</f>
        <v>4437.8262680412354</v>
      </c>
    </row>
    <row r="6" spans="1:5" x14ac:dyDescent="0.25">
      <c r="A6" s="205" t="s">
        <v>53</v>
      </c>
      <c r="B6" s="4">
        <f>'5.4 Tableau de l''endettement'!F20</f>
        <v>4580673.8899999997</v>
      </c>
      <c r="C6" s="4">
        <f>'5.4 Tableau de l''endettement'!F21</f>
        <v>10270.569260089685</v>
      </c>
      <c r="D6" s="4">
        <f>'5.4 Tableau de l''endettement'!F23</f>
        <v>279098.55999999959</v>
      </c>
      <c r="E6" s="4">
        <f>'5.4 Tableau de l''endettement'!F24</f>
        <v>625.78152466367624</v>
      </c>
    </row>
    <row r="7" spans="1:5" x14ac:dyDescent="0.25">
      <c r="A7" s="205" t="s">
        <v>33</v>
      </c>
      <c r="B7" s="4">
        <f>'5.4 Tableau de l''endettement'!G20</f>
        <v>25331929.02</v>
      </c>
      <c r="C7" s="4">
        <f>'5.4 Tableau de l''endettement'!G21</f>
        <v>6976.5709226108511</v>
      </c>
      <c r="D7" s="4">
        <f>'5.4 Tableau de l''endettement'!G23</f>
        <v>11170166.720000001</v>
      </c>
      <c r="E7" s="4">
        <f>'5.4 Tableau de l''endettement'!G24</f>
        <v>3076.3334398237403</v>
      </c>
    </row>
    <row r="8" spans="1:5" x14ac:dyDescent="0.25">
      <c r="A8" s="205" t="s">
        <v>10</v>
      </c>
      <c r="B8" s="4">
        <f>'5.4 Tableau de l''endettement'!H20</f>
        <v>24139585.52</v>
      </c>
      <c r="C8" s="4">
        <f>'5.4 Tableau de l''endettement'!H21</f>
        <v>7286.3222215514634</v>
      </c>
      <c r="D8" s="4">
        <f>'5.4 Tableau de l''endettement'!H23</f>
        <v>16907788.280000001</v>
      </c>
      <c r="E8" s="4">
        <f>'5.4 Tableau de l''endettement'!H24</f>
        <v>5103.4676365831574</v>
      </c>
    </row>
    <row r="9" spans="1:5" x14ac:dyDescent="0.25">
      <c r="A9" s="205" t="s">
        <v>15</v>
      </c>
      <c r="B9" s="4">
        <f>'5.4 Tableau de l''endettement'!I20</f>
        <v>10593458.889999999</v>
      </c>
      <c r="C9" s="4">
        <f>'5.4 Tableau de l''endettement'!I21</f>
        <v>4006.6032110438723</v>
      </c>
      <c r="D9" s="4">
        <f>'5.4 Tableau de l''endettement'!I23</f>
        <v>1024849.9700000007</v>
      </c>
      <c r="E9" s="4">
        <f>'5.4 Tableau de l''endettement'!I24</f>
        <v>387.61345310136181</v>
      </c>
    </row>
    <row r="10" spans="1:5" x14ac:dyDescent="0.25">
      <c r="A10" s="205" t="s">
        <v>28</v>
      </c>
      <c r="B10" s="4">
        <f>'5.4 Tableau de l''endettement'!J20</f>
        <v>132652769.70999999</v>
      </c>
      <c r="C10" s="4">
        <f>'5.4 Tableau de l''endettement'!J21</f>
        <v>10512.97905452528</v>
      </c>
      <c r="D10" s="4">
        <f>'5.4 Tableau de l''endettement'!J23</f>
        <v>90861759.809999973</v>
      </c>
      <c r="E10" s="4">
        <f>'5.4 Tableau de l''endettement'!J24</f>
        <v>7200.9636875891565</v>
      </c>
    </row>
    <row r="11" spans="1:5" x14ac:dyDescent="0.25">
      <c r="A11" s="205" t="s">
        <v>42</v>
      </c>
      <c r="B11" s="4">
        <f>'5.4 Tableau de l''endettement'!K20</f>
        <v>7093445.6799999997</v>
      </c>
      <c r="C11" s="4">
        <f>'5.4 Tableau de l''endettement'!K21</f>
        <v>5173.920991976659</v>
      </c>
      <c r="D11" s="4">
        <f>'5.4 Tableau de l''endettement'!K23</f>
        <v>3075283.87</v>
      </c>
      <c r="E11" s="4">
        <f>'5.4 Tableau de l''endettement'!K24</f>
        <v>2243.0954558716267</v>
      </c>
    </row>
    <row r="12" spans="1:5" x14ac:dyDescent="0.25">
      <c r="A12" s="205" t="s">
        <v>23</v>
      </c>
      <c r="B12" s="4">
        <f>'5.4 Tableau de l''endettement'!L20</f>
        <v>825716.9</v>
      </c>
      <c r="C12" s="4">
        <f>'5.4 Tableau de l''endettement'!L21</f>
        <v>6997.6008474576274</v>
      </c>
      <c r="D12" s="4">
        <f>'5.4 Tableau de l''endettement'!L23</f>
        <v>460672.40000000008</v>
      </c>
      <c r="E12" s="4">
        <f>'5.4 Tableau de l''endettement'!L24</f>
        <v>3904.0033898305091</v>
      </c>
    </row>
    <row r="13" spans="1:5" x14ac:dyDescent="0.25">
      <c r="A13" s="205" t="s">
        <v>22</v>
      </c>
      <c r="B13" s="4">
        <f>'5.4 Tableau de l''endettement'!M20</f>
        <v>44736924.560000002</v>
      </c>
      <c r="C13" s="4">
        <f>'5.4 Tableau de l''endettement'!M21</f>
        <v>6242.0712376168558</v>
      </c>
      <c r="D13" s="4">
        <f>'5.4 Tableau de l''endettement'!M23</f>
        <v>26943371.269999996</v>
      </c>
      <c r="E13" s="4">
        <f>'5.4 Tableau de l''endettement'!M24</f>
        <v>3759.3653230082314</v>
      </c>
    </row>
    <row r="14" spans="1:5" x14ac:dyDescent="0.25">
      <c r="A14" s="205" t="s">
        <v>13</v>
      </c>
      <c r="B14" s="4">
        <f>'5.4 Tableau de l''endettement'!N20</f>
        <v>3159127.29</v>
      </c>
      <c r="C14" s="4">
        <f>'5.4 Tableau de l''endettement'!N21</f>
        <v>5983.1956250000003</v>
      </c>
      <c r="D14" s="4">
        <f>'5.4 Tableau de l''endettement'!N23</f>
        <v>1367293.8900000001</v>
      </c>
      <c r="E14" s="4">
        <f>'5.4 Tableau de l''endettement'!N24</f>
        <v>2589.5717613636366</v>
      </c>
    </row>
    <row r="15" spans="1:5" x14ac:dyDescent="0.25">
      <c r="A15" s="205" t="s">
        <v>17</v>
      </c>
      <c r="B15" s="4">
        <f>'5.4 Tableau de l''endettement'!O20</f>
        <v>536394.25</v>
      </c>
      <c r="C15" s="4">
        <f>'5.4 Tableau de l''endettement'!O21</f>
        <v>4966.6134259259261</v>
      </c>
      <c r="D15" s="4">
        <f>'5.4 Tableau de l''endettement'!O23</f>
        <v>245034.49999999994</v>
      </c>
      <c r="E15" s="4">
        <f>'5.4 Tableau de l''endettement'!O24</f>
        <v>2268.8379629629626</v>
      </c>
    </row>
    <row r="16" spans="1:5" x14ac:dyDescent="0.25">
      <c r="A16" s="205" t="s">
        <v>43</v>
      </c>
      <c r="B16" s="4">
        <f>'5.4 Tableau de l''endettement'!P20</f>
        <v>3313530.66</v>
      </c>
      <c r="C16" s="4">
        <f>'5.4 Tableau de l''endettement'!P21</f>
        <v>7984.4112289156628</v>
      </c>
      <c r="D16" s="4">
        <f>'5.4 Tableau de l''endettement'!P23</f>
        <v>1875698.62</v>
      </c>
      <c r="E16" s="4">
        <f>'5.4 Tableau de l''endettement'!P24</f>
        <v>4519.7557108433739</v>
      </c>
    </row>
    <row r="17" spans="1:5" x14ac:dyDescent="0.25">
      <c r="A17" s="205" t="s">
        <v>40</v>
      </c>
      <c r="B17" s="4">
        <f>'5.4 Tableau de l''endettement'!Q20</f>
        <v>4204776.53</v>
      </c>
      <c r="C17" s="4">
        <f>'5.4 Tableau de l''endettement'!Q21</f>
        <v>12048.070286532951</v>
      </c>
      <c r="D17" s="4">
        <f>'5.4 Tableau de l''endettement'!Q23</f>
        <v>2088445.9300000002</v>
      </c>
      <c r="E17" s="4">
        <f>'5.4 Tableau de l''endettement'!Q24</f>
        <v>5984.085759312321</v>
      </c>
    </row>
    <row r="18" spans="1:5" x14ac:dyDescent="0.25">
      <c r="A18" s="205" t="s">
        <v>31</v>
      </c>
      <c r="B18" s="4">
        <f>'5.4 Tableau de l''endettement'!R20</f>
        <v>5498176.3700000001</v>
      </c>
      <c r="C18" s="4">
        <f>'5.4 Tableau de l''endettement'!R21</f>
        <v>8003.167933042213</v>
      </c>
      <c r="D18" s="4">
        <f>'5.4 Tableau de l''endettement'!R23</f>
        <v>205440.33000000101</v>
      </c>
      <c r="E18" s="4">
        <f>'5.4 Tableau de l''endettement'!R24</f>
        <v>299.03978165939009</v>
      </c>
    </row>
    <row r="19" spans="1:5" x14ac:dyDescent="0.25">
      <c r="A19" s="205" t="s">
        <v>12</v>
      </c>
      <c r="B19" s="4">
        <f>'5.4 Tableau de l''endettement'!S20</f>
        <v>938248.7</v>
      </c>
      <c r="C19" s="4">
        <f>'5.4 Tableau de l''endettement'!S21</f>
        <v>3679.4066666666663</v>
      </c>
      <c r="D19" s="4">
        <f>'5.4 Tableau de l''endettement'!S23</f>
        <v>266671.21000000008</v>
      </c>
      <c r="E19" s="4">
        <f>'5.4 Tableau de l''endettement'!S24</f>
        <v>1045.7694509803925</v>
      </c>
    </row>
    <row r="20" spans="1:5" x14ac:dyDescent="0.25">
      <c r="A20" s="205" t="s">
        <v>59</v>
      </c>
      <c r="B20" s="4">
        <f>'5.4 Tableau de l''endettement'!T20</f>
        <v>4144239.9200000004</v>
      </c>
      <c r="C20" s="4">
        <f>'5.4 Tableau de l''endettement'!T21</f>
        <v>9505.1374311926611</v>
      </c>
      <c r="D20" s="4">
        <f>'5.4 Tableau de l''endettement'!T23</f>
        <v>1745113.8100000005</v>
      </c>
      <c r="E20" s="4">
        <f>'5.4 Tableau de l''endettement'!T24</f>
        <v>4002.5546100917445</v>
      </c>
    </row>
    <row r="21" spans="1:5" x14ac:dyDescent="0.25">
      <c r="A21" s="205" t="s">
        <v>27</v>
      </c>
      <c r="B21" s="4">
        <f>'5.4 Tableau de l''endettement'!U20</f>
        <v>15429558.279999999</v>
      </c>
      <c r="C21" s="4">
        <f>'5.4 Tableau de l''endettement'!U21</f>
        <v>4836.8521253918498</v>
      </c>
      <c r="D21" s="4">
        <f>'5.4 Tableau de l''endettement'!U23</f>
        <v>10830665.34</v>
      </c>
      <c r="E21" s="4">
        <f>'5.4 Tableau de l''endettement'!U24</f>
        <v>3395.1928965517241</v>
      </c>
    </row>
    <row r="22" spans="1:5" x14ac:dyDescent="0.25">
      <c r="A22" s="205" t="s">
        <v>30</v>
      </c>
      <c r="B22" s="4">
        <f>'5.4 Tableau de l''endettement'!V20</f>
        <v>567571.4</v>
      </c>
      <c r="C22" s="4">
        <f>'5.4 Tableau de l''endettement'!V21</f>
        <v>1751.7635802469138</v>
      </c>
      <c r="D22" s="4">
        <f>'5.4 Tableau de l''endettement'!V23</f>
        <v>-1080510.5</v>
      </c>
      <c r="E22" s="4">
        <f>'5.4 Tableau de l''endettement'!V24</f>
        <v>-3334.9089506172841</v>
      </c>
    </row>
    <row r="23" spans="1:5" x14ac:dyDescent="0.25">
      <c r="A23" s="205" t="s">
        <v>20</v>
      </c>
      <c r="B23" s="4">
        <f>'5.4 Tableau de l''endettement'!W20</f>
        <v>12076989.98</v>
      </c>
      <c r="C23" s="4">
        <f>'5.4 Tableau de l''endettement'!W21</f>
        <v>9692.6083306581058</v>
      </c>
      <c r="D23" s="4">
        <f>'5.4 Tableau de l''endettement'!W23</f>
        <v>7786577.9200000009</v>
      </c>
      <c r="E23" s="4">
        <f>'5.4 Tableau de l''endettement'!W24</f>
        <v>6249.259967897272</v>
      </c>
    </row>
    <row r="24" spans="1:5" x14ac:dyDescent="0.25">
      <c r="A24" s="205" t="s">
        <v>45</v>
      </c>
      <c r="B24" s="4">
        <f>'5.4 Tableau de l''endettement'!X20</f>
        <v>8118224.96</v>
      </c>
      <c r="C24" s="4">
        <f>'5.4 Tableau de l''endettement'!X21</f>
        <v>5312.9744502617805</v>
      </c>
      <c r="D24" s="4">
        <f>'5.4 Tableau de l''endettement'!X23</f>
        <v>-9330221.8099999987</v>
      </c>
      <c r="E24" s="4">
        <f>'5.4 Tableau de l''endettement'!X24</f>
        <v>-6106.1661060209417</v>
      </c>
    </row>
    <row r="25" spans="1:5" x14ac:dyDescent="0.25">
      <c r="A25" s="205" t="s">
        <v>71</v>
      </c>
      <c r="B25" s="4">
        <f>'5.4 Tableau de l''endettement'!Y20</f>
        <v>644147.25</v>
      </c>
      <c r="C25" s="4">
        <f>'5.4 Tableau de l''endettement'!Y21</f>
        <v>6709.8671875</v>
      </c>
      <c r="D25" s="4">
        <f>'5.4 Tableau de l''endettement'!Y23</f>
        <v>135991.01</v>
      </c>
      <c r="E25" s="4">
        <f>'5.4 Tableau de l''endettement'!Y24</f>
        <v>1416.5730208333334</v>
      </c>
    </row>
    <row r="26" spans="1:5" x14ac:dyDescent="0.25">
      <c r="A26" s="205" t="s">
        <v>39</v>
      </c>
      <c r="B26" s="4">
        <f>'5.4 Tableau de l''endettement'!Z20</f>
        <v>1231444.1299999999</v>
      </c>
      <c r="C26" s="4">
        <f>'5.4 Tableau de l''endettement'!Z21</f>
        <v>8264.7257046979867</v>
      </c>
      <c r="D26" s="4">
        <f>'5.4 Tableau de l''endettement'!Z23</f>
        <v>-394266.68000000017</v>
      </c>
      <c r="E26" s="4">
        <f>'5.4 Tableau de l''endettement'!Z24</f>
        <v>-2646.0851006711418</v>
      </c>
    </row>
    <row r="27" spans="1:5" x14ac:dyDescent="0.25">
      <c r="A27" s="205" t="s">
        <v>19</v>
      </c>
      <c r="B27" s="4">
        <f>'5.4 Tableau de l''endettement'!AA20</f>
        <v>3754493.61</v>
      </c>
      <c r="C27" s="4">
        <f>'5.4 Tableau de l''endettement'!AA21</f>
        <v>7276.1504069767443</v>
      </c>
      <c r="D27" s="4">
        <f>'5.4 Tableau de l''endettement'!AA23</f>
        <v>795544.37999999942</v>
      </c>
      <c r="E27" s="4">
        <f>'5.4 Tableau de l''endettement'!AA24</f>
        <v>1541.7526744186034</v>
      </c>
    </row>
    <row r="28" spans="1:5" x14ac:dyDescent="0.25">
      <c r="A28" s="205" t="s">
        <v>41</v>
      </c>
      <c r="B28" s="4">
        <f>'5.4 Tableau de l''endettement'!AB20</f>
        <v>8579909.4399999995</v>
      </c>
      <c r="C28" s="4">
        <f>'5.4 Tableau de l''endettement'!AB21</f>
        <v>12786.750283159463</v>
      </c>
      <c r="D28" s="4">
        <f>'5.4 Tableau de l''endettement'!AB23</f>
        <v>5398506.4100000011</v>
      </c>
      <c r="E28" s="4">
        <f>'5.4 Tableau de l''endettement'!AB24</f>
        <v>8045.4640983606578</v>
      </c>
    </row>
    <row r="29" spans="1:5" x14ac:dyDescent="0.25">
      <c r="A29" s="205" t="s">
        <v>36</v>
      </c>
      <c r="B29" s="4">
        <f>'5.4 Tableau de l''endettement'!AC20</f>
        <v>3837428.94</v>
      </c>
      <c r="C29" s="4">
        <f>'5.4 Tableau de l''endettement'!AC21</f>
        <v>6708.7918531468531</v>
      </c>
      <c r="D29" s="4">
        <f>'5.4 Tableau de l''endettement'!AC23</f>
        <v>1285721.0300000003</v>
      </c>
      <c r="E29" s="4">
        <f>'5.4 Tableau de l''endettement'!AC24</f>
        <v>2247.7640384615388</v>
      </c>
    </row>
    <row r="30" spans="1:5" x14ac:dyDescent="0.25">
      <c r="A30" s="205" t="s">
        <v>7</v>
      </c>
      <c r="B30" s="4">
        <f>'5.4 Tableau de l''endettement'!AD20</f>
        <v>1162741.5</v>
      </c>
      <c r="C30" s="4">
        <f>'5.4 Tableau de l''endettement'!AD21</f>
        <v>2372.9418367346939</v>
      </c>
      <c r="D30" s="4">
        <f>'5.4 Tableau de l''endettement'!AD23</f>
        <v>-3100962.9499999997</v>
      </c>
      <c r="E30" s="4">
        <f>'5.4 Tableau de l''endettement'!AD24</f>
        <v>-6328.4958163265301</v>
      </c>
    </row>
    <row r="31" spans="1:5" x14ac:dyDescent="0.25">
      <c r="A31" s="205" t="s">
        <v>55</v>
      </c>
      <c r="B31" s="4">
        <f>'5.4 Tableau de l''endettement'!AE20</f>
        <v>8032615.3900000006</v>
      </c>
      <c r="C31" s="4">
        <f>'5.4 Tableau de l''endettement'!AE21</f>
        <v>4196.7687513061655</v>
      </c>
      <c r="D31" s="4">
        <f>'5.4 Tableau de l''endettement'!AE23</f>
        <v>-641556.43999999948</v>
      </c>
      <c r="E31" s="4">
        <f>'5.4 Tableau de l''endettement'!AE24</f>
        <v>-335.19145245559014</v>
      </c>
    </row>
    <row r="32" spans="1:5" x14ac:dyDescent="0.25">
      <c r="A32" s="205" t="s">
        <v>21</v>
      </c>
      <c r="B32" s="4">
        <f>'5.4 Tableau de l''endettement'!AF20</f>
        <v>19272498.099999998</v>
      </c>
      <c r="C32" s="4">
        <f>'5.4 Tableau de l''endettement'!AF21</f>
        <v>7369.9801529636707</v>
      </c>
      <c r="D32" s="4">
        <f>'5.4 Tableau de l''endettement'!AF23</f>
        <v>10187147.34</v>
      </c>
      <c r="E32" s="4">
        <f>'5.4 Tableau de l''endettement'!AF24</f>
        <v>3895.6586386233271</v>
      </c>
    </row>
    <row r="33" spans="1:5" x14ac:dyDescent="0.25">
      <c r="A33" s="205" t="s">
        <v>6</v>
      </c>
      <c r="B33" s="4">
        <f>'5.4 Tableau de l''endettement'!AG20</f>
        <v>1590822.06</v>
      </c>
      <c r="C33" s="4">
        <f>'5.4 Tableau de l''endettement'!AG21</f>
        <v>7008.0266960352428</v>
      </c>
      <c r="D33" s="4">
        <f>'5.4 Tableau de l''endettement'!AG23</f>
        <v>-118781.69999999995</v>
      </c>
      <c r="E33" s="4">
        <f>'5.4 Tableau de l''endettement'!AG24</f>
        <v>-523.26740088105703</v>
      </c>
    </row>
    <row r="34" spans="1:5" x14ac:dyDescent="0.25">
      <c r="A34" s="205" t="s">
        <v>34</v>
      </c>
      <c r="B34" s="4">
        <f>'5.4 Tableau de l''endettement'!AH20</f>
        <v>1163456.05</v>
      </c>
      <c r="C34" s="4">
        <f>'5.4 Tableau de l''endettement'!AH21</f>
        <v>8881.3438931297715</v>
      </c>
      <c r="D34" s="4">
        <f>'5.4 Tableau de l''endettement'!AH23</f>
        <v>-1114795.5899999999</v>
      </c>
      <c r="E34" s="4">
        <f>'5.4 Tableau de l''endettement'!AH24</f>
        <v>-8509.89</v>
      </c>
    </row>
    <row r="35" spans="1:5" x14ac:dyDescent="0.25">
      <c r="A35" s="205" t="s">
        <v>52</v>
      </c>
      <c r="B35" s="4">
        <f>'5.4 Tableau de l''endettement'!AI20</f>
        <v>17594904.52</v>
      </c>
      <c r="C35" s="4">
        <f>'5.4 Tableau de l''endettement'!AI21</f>
        <v>9284.9100369393145</v>
      </c>
      <c r="D35" s="4">
        <f>'5.4 Tableau de l''endettement'!AI23</f>
        <v>12234275.83</v>
      </c>
      <c r="E35" s="4">
        <f>'5.4 Tableau de l''endettement'!AI24</f>
        <v>6456.0822321899741</v>
      </c>
    </row>
    <row r="36" spans="1:5" x14ac:dyDescent="0.25">
      <c r="A36" s="205" t="s">
        <v>14</v>
      </c>
      <c r="B36" s="4">
        <f>'5.4 Tableau de l''endettement'!AJ20</f>
        <v>9692490.629999999</v>
      </c>
      <c r="C36" s="4">
        <f>'5.4 Tableau de l''endettement'!AJ21</f>
        <v>8539.6393215859025</v>
      </c>
      <c r="D36" s="4">
        <f>'5.4 Tableau de l''endettement'!AJ23</f>
        <v>5016254.2100000009</v>
      </c>
      <c r="E36" s="4">
        <f>'5.4 Tableau de l''endettement'!AJ24</f>
        <v>4419.6072334801765</v>
      </c>
    </row>
    <row r="37" spans="1:5" x14ac:dyDescent="0.25">
      <c r="A37" s="205" t="s">
        <v>32</v>
      </c>
      <c r="B37" s="4">
        <f>'5.4 Tableau de l''endettement'!AK20</f>
        <v>11472400.510000002</v>
      </c>
      <c r="C37" s="4">
        <f>'5.4 Tableau de l''endettement'!AK21</f>
        <v>9244.4806688154731</v>
      </c>
      <c r="D37" s="4">
        <f>'5.4 Tableau de l''endettement'!AK23</f>
        <v>6531766.3000000026</v>
      </c>
      <c r="E37" s="4">
        <f>'5.4 Tableau de l''endettement'!AK24</f>
        <v>5263.3088638195022</v>
      </c>
    </row>
    <row r="38" spans="1:5" x14ac:dyDescent="0.25">
      <c r="A38" s="205" t="s">
        <v>29</v>
      </c>
      <c r="B38" s="4">
        <f>'5.4 Tableau de l''endettement'!AL20</f>
        <v>1630726.94</v>
      </c>
      <c r="C38" s="4">
        <f>'5.4 Tableau de l''endettement'!AL21</f>
        <v>13703.587731092437</v>
      </c>
      <c r="D38" s="4">
        <f>'5.4 Tableau de l''endettement'!AL23</f>
        <v>1172309.7600000002</v>
      </c>
      <c r="E38" s="4">
        <f>'5.4 Tableau de l''endettement'!AL24</f>
        <v>9851.342521008406</v>
      </c>
    </row>
    <row r="39" spans="1:5" x14ac:dyDescent="0.25">
      <c r="A39" s="205" t="s">
        <v>26</v>
      </c>
      <c r="B39" s="4">
        <f>'5.4 Tableau de l''endettement'!AM20</f>
        <v>10895889.1</v>
      </c>
      <c r="C39" s="4">
        <f>'5.4 Tableau de l''endettement'!AM21</f>
        <v>9117.8988284518819</v>
      </c>
      <c r="D39" s="4">
        <f>'5.4 Tableau de l''endettement'!AM23</f>
        <v>-3843093.26</v>
      </c>
      <c r="E39" s="4">
        <f>'5.4 Tableau de l''endettement'!AM24</f>
        <v>-3215.977623430962</v>
      </c>
    </row>
    <row r="40" spans="1:5" x14ac:dyDescent="0.25">
      <c r="A40" s="205" t="s">
        <v>48</v>
      </c>
      <c r="B40" s="4">
        <f>'5.4 Tableau de l''endettement'!AN20</f>
        <v>5208593.24</v>
      </c>
      <c r="C40" s="4">
        <f>'5.4 Tableau de l''endettement'!AN21</f>
        <v>7856.0984012066365</v>
      </c>
      <c r="D40" s="4">
        <f>'5.4 Tableau de l''endettement'!AN23</f>
        <v>1218796.6800000006</v>
      </c>
      <c r="E40" s="4">
        <f>'5.4 Tableau de l''endettement'!AN24</f>
        <v>1838.3057013574671</v>
      </c>
    </row>
    <row r="41" spans="1:5" x14ac:dyDescent="0.25">
      <c r="A41" s="205" t="s">
        <v>44</v>
      </c>
      <c r="B41" s="4">
        <f>'5.4 Tableau de l''endettement'!AO20</f>
        <v>4438992.88</v>
      </c>
      <c r="C41" s="4">
        <f>'5.4 Tableau de l''endettement'!AO21</f>
        <v>6882.1595038759688</v>
      </c>
      <c r="D41" s="4">
        <f>'5.4 Tableau de l''endettement'!AO23</f>
        <v>928101.93000000017</v>
      </c>
      <c r="E41" s="4">
        <f>'5.4 Tableau de l''endettement'!AO24</f>
        <v>1438.9177209302329</v>
      </c>
    </row>
    <row r="42" spans="1:5" x14ac:dyDescent="0.25">
      <c r="A42" s="205" t="s">
        <v>37</v>
      </c>
      <c r="B42" s="4">
        <f>'5.4 Tableau de l''endettement'!AP20</f>
        <v>10073359.530000001</v>
      </c>
      <c r="C42" s="4">
        <f>'5.4 Tableau de l''endettement'!AP21</f>
        <v>7975.7399287410935</v>
      </c>
      <c r="D42" s="4">
        <f>'5.4 Tableau de l''endettement'!AP23</f>
        <v>-1573158.0699999984</v>
      </c>
      <c r="E42" s="4">
        <f>'5.4 Tableau de l''endettement'!AP24</f>
        <v>-1245.5725019794129</v>
      </c>
    </row>
    <row r="43" spans="1:5" x14ac:dyDescent="0.25">
      <c r="A43" s="205" t="s">
        <v>51</v>
      </c>
      <c r="B43" s="4">
        <f>'5.4 Tableau de l''endettement'!AQ20</f>
        <v>5769529.8499999996</v>
      </c>
      <c r="C43" s="4">
        <f>'5.4 Tableau de l''endettement'!AQ21</f>
        <v>7796.6619594594586</v>
      </c>
      <c r="D43" s="4">
        <f>'5.4 Tableau de l''endettement'!AQ23</f>
        <v>3349607.29</v>
      </c>
      <c r="E43" s="4">
        <f>'5.4 Tableau de l''endettement'!AQ24</f>
        <v>4526.4963378378379</v>
      </c>
    </row>
    <row r="44" spans="1:5" x14ac:dyDescent="0.25">
      <c r="A44" s="205" t="s">
        <v>8</v>
      </c>
      <c r="B44" s="4">
        <f>'5.4 Tableau de l''endettement'!AR20</f>
        <v>8124689.7800000003</v>
      </c>
      <c r="C44" s="4">
        <f>'5.4 Tableau de l''endettement'!AR21</f>
        <v>7903.3947276264598</v>
      </c>
      <c r="D44" s="4">
        <f>'5.4 Tableau de l''endettement'!AR23</f>
        <v>4273584.87</v>
      </c>
      <c r="E44" s="4">
        <f>'5.4 Tableau de l''endettement'!AR24</f>
        <v>4157.183725680934</v>
      </c>
    </row>
    <row r="45" spans="1:5" x14ac:dyDescent="0.25">
      <c r="A45" s="205" t="s">
        <v>24</v>
      </c>
      <c r="B45" s="4">
        <f>'5.4 Tableau de l''endettement'!AS20</f>
        <v>1892447.1</v>
      </c>
      <c r="C45" s="4">
        <f>'5.4 Tableau de l''endettement'!AS21</f>
        <v>6026.9015923566885</v>
      </c>
      <c r="D45" s="4">
        <f>'5.4 Tableau de l''endettement'!AS23</f>
        <v>-1809164.0300000005</v>
      </c>
      <c r="E45" s="4">
        <f>'5.4 Tableau de l''endettement'!AS24</f>
        <v>-5761.6688853503201</v>
      </c>
    </row>
    <row r="46" spans="1:5" x14ac:dyDescent="0.25">
      <c r="A46" s="205" t="s">
        <v>9</v>
      </c>
      <c r="B46" s="4">
        <f>'5.4 Tableau de l''endettement'!AT20</f>
        <v>13884615.460000001</v>
      </c>
      <c r="C46" s="4">
        <f>'5.4 Tableau de l''endettement'!AT21</f>
        <v>5785.2564416666673</v>
      </c>
      <c r="D46" s="4">
        <f>'5.4 Tableau de l''endettement'!AT23</f>
        <v>8092477.2599999998</v>
      </c>
      <c r="E46" s="4">
        <f>'5.4 Tableau de l''endettement'!AT24</f>
        <v>3371.8655249999997</v>
      </c>
    </row>
    <row r="47" spans="1:5" x14ac:dyDescent="0.25">
      <c r="A47" s="205" t="s">
        <v>62</v>
      </c>
      <c r="B47" s="4">
        <f>'5.4 Tableau de l''endettement'!AU20</f>
        <v>5721798.2999999998</v>
      </c>
      <c r="C47" s="4">
        <f>'5.4 Tableau de l''endettement'!AU21</f>
        <v>7578.5407947019867</v>
      </c>
      <c r="D47" s="4">
        <f>'5.4 Tableau de l''endettement'!AU23</f>
        <v>2942305.2700000005</v>
      </c>
      <c r="E47" s="4">
        <f>'5.4 Tableau de l''endettement'!AU24</f>
        <v>3897.0930728476828</v>
      </c>
    </row>
    <row r="48" spans="1:5" x14ac:dyDescent="0.25">
      <c r="A48" s="205" t="s">
        <v>46</v>
      </c>
      <c r="B48" s="4">
        <f>'5.4 Tableau de l''endettement'!AV20</f>
        <v>695239.35</v>
      </c>
      <c r="C48" s="4">
        <f>'5.4 Tableau de l''endettement'!AV21</f>
        <v>3841.1013812154697</v>
      </c>
      <c r="D48" s="4">
        <f>'5.4 Tableau de l''endettement'!AV23</f>
        <v>303302.40000000002</v>
      </c>
      <c r="E48" s="4">
        <f>'5.4 Tableau de l''endettement'!AV24</f>
        <v>1675.7038674033151</v>
      </c>
    </row>
    <row r="49" spans="1:5" x14ac:dyDescent="0.25">
      <c r="A49" s="205" t="s">
        <v>35</v>
      </c>
      <c r="B49" s="4">
        <f>'5.4 Tableau de l''endettement'!AW20</f>
        <v>2219789.69</v>
      </c>
      <c r="C49" s="4">
        <f>'5.4 Tableau de l''endettement'!AW21</f>
        <v>6397.0884438040348</v>
      </c>
      <c r="D49" s="4">
        <f>'5.4 Tableau de l''endettement'!AW23</f>
        <v>-28814.959999999963</v>
      </c>
      <c r="E49" s="4">
        <f>'5.4 Tableau de l''endettement'!AW24</f>
        <v>-83.040230547550323</v>
      </c>
    </row>
    <row r="50" spans="1:5" x14ac:dyDescent="0.25">
      <c r="A50" s="205" t="s">
        <v>49</v>
      </c>
      <c r="B50" s="4">
        <f>'5.4 Tableau de l''endettement'!AX20</f>
        <v>20584531.979999997</v>
      </c>
      <c r="C50" s="4">
        <f>'5.4 Tableau de l''endettement'!AX21</f>
        <v>12180.196437869821</v>
      </c>
      <c r="D50" s="4">
        <f>'5.4 Tableau de l''endettement'!AX23</f>
        <v>16166827.07</v>
      </c>
      <c r="E50" s="4">
        <f>'5.4 Tableau de l''endettement'!AX24</f>
        <v>9566.1698639053247</v>
      </c>
    </row>
    <row r="51" spans="1:5" x14ac:dyDescent="0.25">
      <c r="A51" s="205" t="s">
        <v>47</v>
      </c>
      <c r="B51" s="4">
        <f>'5.4 Tableau de l''endettement'!AY20</f>
        <v>1678016.85</v>
      </c>
      <c r="C51" s="4">
        <f>'5.4 Tableau de l''endettement'!AY21</f>
        <v>4335.9608527131786</v>
      </c>
      <c r="D51" s="4">
        <f>'5.4 Tableau de l''endettement'!AY23</f>
        <v>-1285711.78</v>
      </c>
      <c r="E51" s="4">
        <f>'5.4 Tableau de l''endettement'!AY24</f>
        <v>-3322.2526614987082</v>
      </c>
    </row>
    <row r="52" spans="1:5" x14ac:dyDescent="0.25">
      <c r="A52" s="205" t="s">
        <v>58</v>
      </c>
      <c r="B52" s="4">
        <f>'5.4 Tableau de l''endettement'!AZ20</f>
        <v>10224980.140000001</v>
      </c>
      <c r="C52" s="4">
        <f>'5.4 Tableau de l''endettement'!AZ21</f>
        <v>9329.3614416058408</v>
      </c>
      <c r="D52" s="4">
        <f>'5.4 Tableau de l''endettement'!AZ23</f>
        <v>5956684.4200000009</v>
      </c>
      <c r="E52" s="4">
        <f>'5.4 Tableau de l''endettement'!AZ24</f>
        <v>5434.9310401459861</v>
      </c>
    </row>
    <row r="53" spans="1:5" x14ac:dyDescent="0.25">
      <c r="A53" s="205" t="s">
        <v>50</v>
      </c>
      <c r="B53" s="4">
        <f>'5.4 Tableau de l''endettement'!BA20</f>
        <v>206289.58000000002</v>
      </c>
      <c r="C53" s="4">
        <f>'5.4 Tableau de l''endettement'!BA21</f>
        <v>1097.2850000000001</v>
      </c>
      <c r="D53" s="4">
        <f>'5.4 Tableau de l''endettement'!BA23</f>
        <v>-570550.01</v>
      </c>
      <c r="E53" s="4">
        <f>'5.4 Tableau de l''endettement'!BA24</f>
        <v>-3034.8404787234044</v>
      </c>
    </row>
    <row r="54" spans="1:5" x14ac:dyDescent="0.25">
      <c r="A54" s="205" t="s">
        <v>16</v>
      </c>
      <c r="B54" s="4">
        <f>'5.4 Tableau de l''endettement'!BB20</f>
        <v>67094497.109999999</v>
      </c>
      <c r="C54" s="4">
        <f>'5.4 Tableau de l''endettement'!BB21</f>
        <v>10428.115808206403</v>
      </c>
      <c r="D54" s="4">
        <f>'5.4 Tableau de l''endettement'!BB23</f>
        <v>38530094.520000011</v>
      </c>
      <c r="E54" s="4">
        <f>'5.4 Tableau de l''endettement'!BB24</f>
        <v>5988.513291886853</v>
      </c>
    </row>
    <row r="55" spans="1:5" x14ac:dyDescent="0.25">
      <c r="A55" s="205" t="s">
        <v>25</v>
      </c>
      <c r="B55" s="4">
        <f>'5.4 Tableau de l''endettement'!BC20</f>
        <v>4428056.8</v>
      </c>
      <c r="C55" s="4">
        <f>'5.4 Tableau de l''endettement'!BC21</f>
        <v>7907.2442857142851</v>
      </c>
      <c r="D55" s="4">
        <f>'5.4 Tableau de l''endettement'!BC23</f>
        <v>2154728.8999999994</v>
      </c>
      <c r="E55" s="4">
        <f>'5.4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50</v>
      </c>
    </row>
    <row r="5" spans="1:3" ht="15" customHeight="1" x14ac:dyDescent="0.25">
      <c r="C5" s="65"/>
    </row>
    <row r="6" spans="1:3" ht="15" customHeight="1" x14ac:dyDescent="0.25">
      <c r="C6" s="182" t="s">
        <v>205</v>
      </c>
    </row>
    <row r="7" spans="1:3" x14ac:dyDescent="0.25">
      <c r="A7" s="67">
        <v>10</v>
      </c>
      <c r="B7" s="67" t="s">
        <v>247</v>
      </c>
      <c r="C7" s="4">
        <f>HLOOKUP($B$4,'5.4 Tableau de l''endettement'!$C$6:$BC$24,2,0)</f>
        <v>866228.97</v>
      </c>
    </row>
    <row r="8" spans="1:3" x14ac:dyDescent="0.25">
      <c r="A8" s="67"/>
      <c r="B8" s="67"/>
      <c r="C8" s="4"/>
    </row>
    <row r="9" spans="1:3" x14ac:dyDescent="0.25">
      <c r="A9" s="67">
        <v>20</v>
      </c>
      <c r="B9" s="67" t="s">
        <v>259</v>
      </c>
      <c r="C9" s="4">
        <f>HLOOKUP($B$4,'5.4 Tableau de l''endettement'!$C$6:$BC$24,4,0)</f>
        <v>295678.96000000002</v>
      </c>
    </row>
    <row r="10" spans="1:3" x14ac:dyDescent="0.25">
      <c r="A10" s="67"/>
      <c r="B10" s="67"/>
      <c r="C10" s="4"/>
    </row>
    <row r="11" spans="1:3" x14ac:dyDescent="0.25">
      <c r="A11" s="67">
        <v>200</v>
      </c>
      <c r="B11" s="67" t="s">
        <v>460</v>
      </c>
      <c r="C11" s="4">
        <f>HLOOKUP($B$4,'5.4 Tableau de l''endettement'!$C$6:$BC$24,6,0)</f>
        <v>57543.880000000005</v>
      </c>
    </row>
    <row r="12" spans="1:3" x14ac:dyDescent="0.25">
      <c r="A12" s="67"/>
      <c r="B12" s="67"/>
      <c r="C12" s="4"/>
    </row>
    <row r="13" spans="1:3" x14ac:dyDescent="0.25">
      <c r="A13" s="67">
        <v>201</v>
      </c>
      <c r="B13" s="67" t="s">
        <v>261</v>
      </c>
      <c r="C13" s="4">
        <f>HLOOKUP($B$4,'5.4 Tableau de l''endettement'!$C$6:$BC$24,8,0)</f>
        <v>0</v>
      </c>
    </row>
    <row r="14" spans="1:3" x14ac:dyDescent="0.25">
      <c r="A14" s="67"/>
      <c r="B14" s="67"/>
      <c r="C14" s="4"/>
    </row>
    <row r="15" spans="1:3" x14ac:dyDescent="0.25">
      <c r="A15" s="67">
        <v>206</v>
      </c>
      <c r="B15" s="67" t="s">
        <v>264</v>
      </c>
      <c r="C15" s="4">
        <f>HLOOKUP($B$4,'5.4 Tableau de l''endettement'!$C$6:$BC$24,10,0)</f>
        <v>148745.70000000001</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206289.58000000002</v>
      </c>
    </row>
    <row r="21" spans="1:3" x14ac:dyDescent="0.25">
      <c r="A21" s="67"/>
      <c r="B21" s="69" t="s">
        <v>458</v>
      </c>
      <c r="C21" s="70">
        <f>HLOOKUP($B$4,'5.4 Tableau de l''endettement'!$C$6:$BC$24,16,0)</f>
        <v>1097.2850000000001</v>
      </c>
    </row>
    <row r="22" spans="1:3" x14ac:dyDescent="0.25">
      <c r="A22" s="67"/>
      <c r="B22" s="7"/>
      <c r="C22" s="4"/>
    </row>
    <row r="23" spans="1:3" x14ac:dyDescent="0.25">
      <c r="A23" s="67"/>
      <c r="B23" s="99" t="s">
        <v>656</v>
      </c>
      <c r="C23" s="100">
        <f>HLOOKUP($B$4,'5.4 Tableau de l''endettement'!$C$6:$BC$24,18,0)</f>
        <v>-570550.01</v>
      </c>
    </row>
    <row r="24" spans="1:3" x14ac:dyDescent="0.25">
      <c r="A24" s="67"/>
      <c r="B24" s="69" t="s">
        <v>458</v>
      </c>
      <c r="C24" s="70">
        <f>HLOOKUP($B$4,'5.4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866229.02</v>
      </c>
    </row>
    <row r="30" spans="1:3" x14ac:dyDescent="0.25">
      <c r="A30" s="67"/>
      <c r="B30" s="67"/>
      <c r="C30" s="4"/>
    </row>
    <row r="31" spans="1:3" x14ac:dyDescent="0.25">
      <c r="A31" s="67">
        <v>20</v>
      </c>
      <c r="B31" s="67" t="s">
        <v>259</v>
      </c>
      <c r="C31" s="4">
        <f>HLOOKUP($B$4,'5.4 Tableau de l''endettement'!$C$6:$BC$49,26,0)</f>
        <v>295678.96000000002</v>
      </c>
    </row>
    <row r="32" spans="1:3" x14ac:dyDescent="0.25">
      <c r="A32" s="67"/>
      <c r="B32" s="67"/>
      <c r="C32" s="4"/>
    </row>
    <row r="33" spans="1:3" x14ac:dyDescent="0.25">
      <c r="A33" s="67">
        <v>200</v>
      </c>
      <c r="B33" s="67" t="s">
        <v>460</v>
      </c>
      <c r="C33" s="4">
        <f>HLOOKUP($B$4,'5.4 Tableau de l''endettement'!$C$6:$BC$49,28,0)</f>
        <v>57543.88</v>
      </c>
    </row>
    <row r="34" spans="1:3" x14ac:dyDescent="0.25">
      <c r="A34" s="67"/>
      <c r="B34" s="67"/>
      <c r="C34" s="4"/>
    </row>
    <row r="35" spans="1:3" x14ac:dyDescent="0.25">
      <c r="A35" s="67">
        <v>201</v>
      </c>
      <c r="B35" s="67" t="s">
        <v>261</v>
      </c>
      <c r="C35" s="4">
        <f>HLOOKUP($B$4,'5.4 Tableau de l''endettement'!$C$6:$BC$49,30,0)</f>
        <v>0</v>
      </c>
    </row>
    <row r="36" spans="1:3" x14ac:dyDescent="0.25">
      <c r="A36" s="67"/>
      <c r="B36" s="67"/>
      <c r="C36" s="4"/>
    </row>
    <row r="37" spans="1:3" x14ac:dyDescent="0.25">
      <c r="A37" s="67">
        <v>206</v>
      </c>
      <c r="B37" s="67" t="s">
        <v>264</v>
      </c>
      <c r="C37" s="4">
        <f>HLOOKUP($B$4,'5.4 Tableau de l''endettement'!$C$6:$BC$49,32,0)</f>
        <v>148745.70000000001</v>
      </c>
    </row>
    <row r="38" spans="1:3" x14ac:dyDescent="0.25">
      <c r="A38" s="67"/>
      <c r="B38" s="67"/>
      <c r="C38" s="4"/>
    </row>
    <row r="39" spans="1:3" x14ac:dyDescent="0.25">
      <c r="A39" s="67">
        <v>2016</v>
      </c>
      <c r="B39" s="67" t="s">
        <v>276</v>
      </c>
      <c r="C39" s="4">
        <f>HLOOKUP($B$4,'5.4 Tableau de l''endettement'!$C$6:$BC$49,34,0)</f>
        <v>0</v>
      </c>
    </row>
    <row r="40" spans="1:3" x14ac:dyDescent="0.25">
      <c r="A40" s="67"/>
      <c r="B40" s="67"/>
      <c r="C40" s="4"/>
    </row>
    <row r="41" spans="1:3" x14ac:dyDescent="0.25">
      <c r="A41" s="67"/>
      <c r="B41" s="67"/>
      <c r="C41" s="4"/>
    </row>
    <row r="42" spans="1:3" x14ac:dyDescent="0.25">
      <c r="A42" s="67"/>
      <c r="B42" s="99" t="s">
        <v>657</v>
      </c>
      <c r="C42" s="100">
        <f>HLOOKUP($B$4,'5.4 Tableau de l''endettement'!$C$6:$BC$49,37,0)</f>
        <v>206289.58000000002</v>
      </c>
    </row>
    <row r="43" spans="1:3" x14ac:dyDescent="0.25">
      <c r="A43" s="67"/>
      <c r="B43" s="69" t="s">
        <v>458</v>
      </c>
      <c r="C43" s="70">
        <f>HLOOKUP($B$4,'5.4 Tableau de l''endettement'!$C$6:$BC$49,38,0)</f>
        <v>1097.2850000000001</v>
      </c>
    </row>
    <row r="44" spans="1:3" x14ac:dyDescent="0.25">
      <c r="A44" s="67"/>
      <c r="B44" s="7"/>
      <c r="C44" s="4"/>
    </row>
    <row r="45" spans="1:3" x14ac:dyDescent="0.25">
      <c r="A45" s="67"/>
      <c r="B45" s="99" t="s">
        <v>658</v>
      </c>
      <c r="C45" s="100">
        <f>HLOOKUP($B$4,'5.4 Tableau de l''endettement'!$C$6:$BC$49,40,0)</f>
        <v>-570550.06000000006</v>
      </c>
    </row>
    <row r="46" spans="1:3" x14ac:dyDescent="0.25">
      <c r="A46" s="67"/>
      <c r="B46" s="69" t="s">
        <v>458</v>
      </c>
      <c r="C46" s="70">
        <f>HLOOKUP($B$4,'5.4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D13" sqref="D13"/>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4" t="s">
        <v>25</v>
      </c>
    </row>
    <row r="7" spans="1:5" ht="21" x14ac:dyDescent="0.35">
      <c r="A7" s="102">
        <v>5</v>
      </c>
      <c r="B7" s="102"/>
      <c r="C7" s="102"/>
      <c r="D7" s="102" t="s">
        <v>193</v>
      </c>
      <c r="E7" s="185">
        <f>HLOOKUP($D$4,'6.1 Investissements'!$E$3:$BE$185,2,0)</f>
        <v>6219.65</v>
      </c>
    </row>
    <row r="8" spans="1:5" x14ac:dyDescent="0.25">
      <c r="A8" s="78"/>
      <c r="B8" s="69">
        <v>50</v>
      </c>
      <c r="C8" s="69"/>
      <c r="D8" s="69" t="s">
        <v>465</v>
      </c>
      <c r="E8" s="70">
        <f>SUM(E9:E16)</f>
        <v>0</v>
      </c>
    </row>
    <row r="9" spans="1:5" x14ac:dyDescent="0.25">
      <c r="C9">
        <v>500</v>
      </c>
      <c r="D9" t="s">
        <v>467</v>
      </c>
      <c r="E9" s="4">
        <f>HLOOKUP($D$4,'6.1 Investissements'!$E$3:$BE$185,4,0)</f>
        <v>0</v>
      </c>
    </row>
    <row r="10" spans="1:5" x14ac:dyDescent="0.25">
      <c r="C10">
        <v>501</v>
      </c>
      <c r="D10" t="s">
        <v>468</v>
      </c>
      <c r="E10" s="4">
        <f>HLOOKUP($D$4,'6.1 Investissements'!$E$3:$BE$185,5,0)</f>
        <v>0</v>
      </c>
    </row>
    <row r="11" spans="1:5" x14ac:dyDescent="0.25">
      <c r="C11">
        <v>502</v>
      </c>
      <c r="D11" t="s">
        <v>469</v>
      </c>
      <c r="E11" s="4">
        <f>HLOOKUP($D$4,'6.1 Investissements'!$E$3:$BE$185,6,0)</f>
        <v>0</v>
      </c>
    </row>
    <row r="12" spans="1:5" x14ac:dyDescent="0.25">
      <c r="C12">
        <v>503</v>
      </c>
      <c r="D12" t="s">
        <v>470</v>
      </c>
      <c r="E12" s="4">
        <f>HLOOKUP($D$4,'6.1 Investissements'!$E$3:$BE$185,7,0)</f>
        <v>0</v>
      </c>
    </row>
    <row r="13" spans="1:5" x14ac:dyDescent="0.25">
      <c r="C13">
        <v>504</v>
      </c>
      <c r="D13" t="s">
        <v>471</v>
      </c>
      <c r="E13" s="4">
        <f>HLOOKUP($D$4,'6.1 Investissements'!$E$3:$BE$185,8,0)</f>
        <v>0</v>
      </c>
    </row>
    <row r="14" spans="1:5" x14ac:dyDescent="0.25">
      <c r="C14">
        <v>505</v>
      </c>
      <c r="D14" t="s">
        <v>472</v>
      </c>
      <c r="E14" s="4">
        <f>HLOOKUP($D$4,'6.1 Investissements'!$E$3:$BE$185,9,0)</f>
        <v>0</v>
      </c>
    </row>
    <row r="15" spans="1:5" x14ac:dyDescent="0.25">
      <c r="C15">
        <v>506</v>
      </c>
      <c r="D15" t="s">
        <v>473</v>
      </c>
      <c r="E15" s="4">
        <f>HLOOKUP($D$4,'6.1 Investissements'!$E$3:$BE$185,10,0)</f>
        <v>0</v>
      </c>
    </row>
    <row r="16" spans="1:5" x14ac:dyDescent="0.25">
      <c r="C16">
        <v>509</v>
      </c>
      <c r="D16" t="s">
        <v>474</v>
      </c>
      <c r="E16" s="4">
        <f>HLOOKUP($D$4,'6.1 Investissements'!$E$3:$BE$185,11,0)</f>
        <v>0</v>
      </c>
    </row>
    <row r="18" spans="2:5" x14ac:dyDescent="0.25">
      <c r="B18" s="69">
        <v>51</v>
      </c>
      <c r="C18" s="69"/>
      <c r="D18" s="69" t="s">
        <v>466</v>
      </c>
      <c r="E18" s="70">
        <f>SUM(E19:E26)</f>
        <v>0</v>
      </c>
    </row>
    <row r="19" spans="2:5" x14ac:dyDescent="0.25">
      <c r="C19">
        <v>510</v>
      </c>
      <c r="D19" t="s">
        <v>467</v>
      </c>
      <c r="E19" s="4">
        <f>HLOOKUP($D$4,'6.1 Investissements'!$E$3:$BE$185,14,0)</f>
        <v>0</v>
      </c>
    </row>
    <row r="20" spans="2:5" x14ac:dyDescent="0.25">
      <c r="C20">
        <v>511</v>
      </c>
      <c r="D20" t="s">
        <v>468</v>
      </c>
      <c r="E20" s="4">
        <f>HLOOKUP($D$4,'6.1 Investissements'!$E$3:$BE$185,15,0)</f>
        <v>0</v>
      </c>
    </row>
    <row r="21" spans="2:5" x14ac:dyDescent="0.25">
      <c r="C21">
        <v>512</v>
      </c>
      <c r="D21" t="s">
        <v>469</v>
      </c>
      <c r="E21" s="4">
        <f>HLOOKUP($D$4,'6.1 Investissements'!$E$3:$BE$185,16,0)</f>
        <v>0</v>
      </c>
    </row>
    <row r="22" spans="2:5" x14ac:dyDescent="0.25">
      <c r="C22">
        <v>513</v>
      </c>
      <c r="D22" t="s">
        <v>470</v>
      </c>
      <c r="E22" s="4">
        <f>HLOOKUP($D$4,'6.1 Investissements'!$E$3:$BE$185,17,0)</f>
        <v>0</v>
      </c>
    </row>
    <row r="23" spans="2:5" x14ac:dyDescent="0.25">
      <c r="C23">
        <v>514</v>
      </c>
      <c r="D23" t="s">
        <v>471</v>
      </c>
      <c r="E23" s="4">
        <f>HLOOKUP($D$4,'6.1 Investissements'!$E$3:$BE$185,18,0)</f>
        <v>0</v>
      </c>
    </row>
    <row r="24" spans="2:5" x14ac:dyDescent="0.25">
      <c r="C24">
        <v>515</v>
      </c>
      <c r="D24" t="s">
        <v>472</v>
      </c>
      <c r="E24" s="4">
        <f>HLOOKUP($D$4,'6.1 Investissements'!$E$3:$BE$185,19,0)</f>
        <v>0</v>
      </c>
    </row>
    <row r="25" spans="2:5" x14ac:dyDescent="0.25">
      <c r="C25">
        <v>516</v>
      </c>
      <c r="D25" t="s">
        <v>473</v>
      </c>
      <c r="E25" s="4">
        <f>HLOOKUP($D$4,'6.1 Investissements'!$E$3:$BE$185,20,0)</f>
        <v>0</v>
      </c>
    </row>
    <row r="26" spans="2:5" x14ac:dyDescent="0.25">
      <c r="C26">
        <v>519</v>
      </c>
      <c r="D26" t="s">
        <v>474</v>
      </c>
      <c r="E26" s="4">
        <f>HLOOKUP($D$4,'6.1 Investissements'!$E$3:$BE$185,21,0)</f>
        <v>0</v>
      </c>
    </row>
    <row r="28" spans="2:5" x14ac:dyDescent="0.25">
      <c r="B28" s="69">
        <v>52</v>
      </c>
      <c r="C28" s="69"/>
      <c r="D28" s="69" t="s">
        <v>475</v>
      </c>
      <c r="E28" s="70">
        <f>SUM(E29:E31)</f>
        <v>6219.65</v>
      </c>
    </row>
    <row r="29" spans="2:5" x14ac:dyDescent="0.25">
      <c r="C29">
        <v>520</v>
      </c>
      <c r="D29" t="s">
        <v>375</v>
      </c>
      <c r="E29" s="4">
        <f>HLOOKUP($D$4,'6.1 Investissements'!$E$3:$BE$185,24,0)</f>
        <v>0</v>
      </c>
    </row>
    <row r="30" spans="2:5" x14ac:dyDescent="0.25">
      <c r="C30">
        <v>521</v>
      </c>
      <c r="D30" t="s">
        <v>376</v>
      </c>
      <c r="E30" s="4">
        <f>HLOOKUP($D$4,'6.1 Investissements'!$E$3:$BE$185,25,0)</f>
        <v>0</v>
      </c>
    </row>
    <row r="31" spans="2:5" x14ac:dyDescent="0.25">
      <c r="C31">
        <v>529</v>
      </c>
      <c r="D31" t="s">
        <v>476</v>
      </c>
      <c r="E31" s="4">
        <f>HLOOKUP($D$4,'6.1 Investissements'!$E$3:$BE$185,26,0)</f>
        <v>6219.65</v>
      </c>
    </row>
    <row r="33" spans="2:5" x14ac:dyDescent="0.25">
      <c r="B33" s="69">
        <v>54</v>
      </c>
      <c r="C33" s="69"/>
      <c r="D33" s="69" t="s">
        <v>257</v>
      </c>
      <c r="E33" s="70">
        <f>SUM(E34:E42)</f>
        <v>0</v>
      </c>
    </row>
    <row r="34" spans="2:5" x14ac:dyDescent="0.25">
      <c r="C34">
        <v>540</v>
      </c>
      <c r="D34" t="s">
        <v>477</v>
      </c>
      <c r="E34" s="4">
        <f>HLOOKUP($D$4,'6.1 Investissements'!$E$3:$BE$185,29,0)</f>
        <v>0</v>
      </c>
    </row>
    <row r="35" spans="2:5" x14ac:dyDescent="0.25">
      <c r="C35">
        <v>541</v>
      </c>
      <c r="D35" t="s">
        <v>478</v>
      </c>
      <c r="E35" s="4">
        <f>HLOOKUP($D$4,'6.1 Investissements'!$E$3:$BE$185,30,0)</f>
        <v>0</v>
      </c>
    </row>
    <row r="36" spans="2:5" x14ac:dyDescent="0.25">
      <c r="C36">
        <v>542</v>
      </c>
      <c r="D36" t="s">
        <v>479</v>
      </c>
      <c r="E36" s="4">
        <f>HLOOKUP($D$4,'6.1 Investissements'!$E$3:$BE$185,31,0)</f>
        <v>0</v>
      </c>
    </row>
    <row r="37" spans="2:5" x14ac:dyDescent="0.25">
      <c r="C37">
        <v>543</v>
      </c>
      <c r="D37" t="s">
        <v>480</v>
      </c>
      <c r="E37" s="4">
        <f>HLOOKUP($D$4,'6.1 Investissements'!$E$3:$BE$185,32,0)</f>
        <v>0</v>
      </c>
    </row>
    <row r="38" spans="2:5" x14ac:dyDescent="0.25">
      <c r="C38">
        <v>544</v>
      </c>
      <c r="D38" t="s">
        <v>481</v>
      </c>
      <c r="E38" s="4">
        <f>HLOOKUP($D$4,'6.1 Investissements'!$E$3:$BE$185,33,0)</f>
        <v>0</v>
      </c>
    </row>
    <row r="39" spans="2:5" x14ac:dyDescent="0.25">
      <c r="C39">
        <v>545</v>
      </c>
      <c r="D39" t="s">
        <v>482</v>
      </c>
      <c r="E39" s="4">
        <f>HLOOKUP($D$4,'6.1 Investissements'!$E$3:$BE$185,34,0)</f>
        <v>0</v>
      </c>
    </row>
    <row r="40" spans="2:5" x14ac:dyDescent="0.25">
      <c r="C40">
        <v>546</v>
      </c>
      <c r="D40" t="s">
        <v>483</v>
      </c>
      <c r="E40" s="4">
        <f>HLOOKUP($D$4,'6.1 Investissements'!$E$3:$BE$185,35,0)</f>
        <v>0</v>
      </c>
    </row>
    <row r="41" spans="2:5" x14ac:dyDescent="0.25">
      <c r="C41">
        <v>547</v>
      </c>
      <c r="D41" t="s">
        <v>484</v>
      </c>
      <c r="E41" s="4">
        <f>HLOOKUP($D$4,'6.1 Investissements'!$E$3:$BE$185,36,0)</f>
        <v>0</v>
      </c>
    </row>
    <row r="42" spans="2:5" x14ac:dyDescent="0.25">
      <c r="C42">
        <v>548</v>
      </c>
      <c r="D42" t="s">
        <v>485</v>
      </c>
      <c r="E42" s="4">
        <f>HLOOKUP($D$4,'6.1 Investissements'!$E$3:$BE$185,37,0)</f>
        <v>0</v>
      </c>
    </row>
    <row r="44" spans="2:5" x14ac:dyDescent="0.25">
      <c r="B44" s="69">
        <v>55</v>
      </c>
      <c r="C44" s="69"/>
      <c r="D44" s="69" t="s">
        <v>388</v>
      </c>
      <c r="E44" s="70">
        <f>SUM(E45:E53)</f>
        <v>0</v>
      </c>
    </row>
    <row r="45" spans="2:5" x14ac:dyDescent="0.25">
      <c r="C45">
        <v>550</v>
      </c>
      <c r="D45" t="s">
        <v>477</v>
      </c>
      <c r="E45" s="4">
        <f>HLOOKUP($D$4,'6.1 Investissements'!$E$3:$BE$185,40,0)</f>
        <v>0</v>
      </c>
    </row>
    <row r="46" spans="2:5" x14ac:dyDescent="0.25">
      <c r="C46">
        <v>551</v>
      </c>
      <c r="D46" t="s">
        <v>478</v>
      </c>
      <c r="E46" s="4">
        <f>HLOOKUP($D$4,'6.1 Investissements'!$E$3:$BE$185,41,0)</f>
        <v>0</v>
      </c>
    </row>
    <row r="47" spans="2:5" x14ac:dyDescent="0.25">
      <c r="C47">
        <v>552</v>
      </c>
      <c r="D47" t="s">
        <v>479</v>
      </c>
      <c r="E47" s="4">
        <f>HLOOKUP($D$4,'6.1 Investissements'!$E$3:$BE$185,42,0)</f>
        <v>0</v>
      </c>
    </row>
    <row r="48" spans="2:5" x14ac:dyDescent="0.25">
      <c r="C48">
        <v>553</v>
      </c>
      <c r="D48" t="s">
        <v>480</v>
      </c>
      <c r="E48" s="4">
        <f>HLOOKUP($D$4,'6.1 Investissements'!$E$3:$BE$185,43,0)</f>
        <v>0</v>
      </c>
    </row>
    <row r="49" spans="2:5" x14ac:dyDescent="0.25">
      <c r="C49">
        <v>554</v>
      </c>
      <c r="D49" t="s">
        <v>481</v>
      </c>
      <c r="E49" s="4">
        <f>HLOOKUP($D$4,'6.1 Investissements'!$E$3:$BE$185,44,0)</f>
        <v>0</v>
      </c>
    </row>
    <row r="50" spans="2:5" x14ac:dyDescent="0.25">
      <c r="C50">
        <v>555</v>
      </c>
      <c r="D50" t="s">
        <v>482</v>
      </c>
      <c r="E50" s="4">
        <f>HLOOKUP($D$4,'6.1 Investissements'!$E$3:$BE$185,45,0)</f>
        <v>0</v>
      </c>
    </row>
    <row r="51" spans="2:5" x14ac:dyDescent="0.25">
      <c r="C51">
        <v>556</v>
      </c>
      <c r="D51" t="s">
        <v>483</v>
      </c>
      <c r="E51" s="4">
        <f>HLOOKUP($D$4,'6.1 Investissements'!$E$3:$BE$185,46,0)</f>
        <v>0</v>
      </c>
    </row>
    <row r="52" spans="2:5" x14ac:dyDescent="0.25">
      <c r="C52">
        <v>557</v>
      </c>
      <c r="D52" t="s">
        <v>484</v>
      </c>
      <c r="E52" s="4">
        <f>HLOOKUP($D$4,'6.1 Investissements'!$E$3:$BE$185,47,0)</f>
        <v>0</v>
      </c>
    </row>
    <row r="53" spans="2:5" x14ac:dyDescent="0.25">
      <c r="C53">
        <v>558</v>
      </c>
      <c r="D53" t="s">
        <v>485</v>
      </c>
      <c r="E53" s="4">
        <f>HLOOKUP($D$4,'6.1 Investissements'!$E$3:$BE$185,48,0)</f>
        <v>0</v>
      </c>
    </row>
    <row r="55" spans="2:5" x14ac:dyDescent="0.25">
      <c r="B55" s="69">
        <v>56</v>
      </c>
      <c r="C55" s="69"/>
      <c r="D55" s="69" t="s">
        <v>486</v>
      </c>
      <c r="E55" s="70">
        <f>SUM(E56:E64)</f>
        <v>0</v>
      </c>
    </row>
    <row r="56" spans="2:5" x14ac:dyDescent="0.25">
      <c r="C56">
        <v>560</v>
      </c>
      <c r="D56" t="s">
        <v>477</v>
      </c>
      <c r="E56" s="4">
        <f>HLOOKUP($D$4,'6.1 Investissements'!$E$3:$BE$185,51,0)</f>
        <v>0</v>
      </c>
    </row>
    <row r="57" spans="2:5" x14ac:dyDescent="0.25">
      <c r="C57">
        <v>561</v>
      </c>
      <c r="D57" t="s">
        <v>478</v>
      </c>
      <c r="E57" s="4">
        <f>HLOOKUP($D$4,'6.1 Investissements'!$E$3:$BE$185,52,0)</f>
        <v>0</v>
      </c>
    </row>
    <row r="58" spans="2:5" x14ac:dyDescent="0.25">
      <c r="C58">
        <v>562</v>
      </c>
      <c r="D58" t="s">
        <v>479</v>
      </c>
      <c r="E58" s="4">
        <f>HLOOKUP($D$4,'6.1 Investissements'!$E$3:$BE$185,53,0)</f>
        <v>0</v>
      </c>
    </row>
    <row r="59" spans="2:5" x14ac:dyDescent="0.25">
      <c r="C59">
        <v>563</v>
      </c>
      <c r="D59" t="s">
        <v>480</v>
      </c>
      <c r="E59" s="4">
        <f>HLOOKUP($D$4,'6.1 Investissements'!$E$3:$BE$185,54,0)</f>
        <v>0</v>
      </c>
    </row>
    <row r="60" spans="2:5" x14ac:dyDescent="0.25">
      <c r="C60">
        <v>564</v>
      </c>
      <c r="D60" t="s">
        <v>481</v>
      </c>
      <c r="E60" s="4">
        <f>HLOOKUP($D$4,'6.1 Investissements'!$E$3:$BE$185,55,0)</f>
        <v>0</v>
      </c>
    </row>
    <row r="61" spans="2:5" x14ac:dyDescent="0.25">
      <c r="C61">
        <v>565</v>
      </c>
      <c r="D61" t="s">
        <v>482</v>
      </c>
      <c r="E61" s="4">
        <f>HLOOKUP($D$4,'6.1 Investissements'!$E$3:$BE$185,56,0)</f>
        <v>0</v>
      </c>
    </row>
    <row r="62" spans="2:5" x14ac:dyDescent="0.25">
      <c r="C62">
        <v>566</v>
      </c>
      <c r="D62" t="s">
        <v>483</v>
      </c>
      <c r="E62" s="4">
        <f>HLOOKUP($D$4,'6.1 Investissements'!$E$3:$BE$185,57,0)</f>
        <v>0</v>
      </c>
    </row>
    <row r="63" spans="2:5" x14ac:dyDescent="0.25">
      <c r="C63">
        <v>567</v>
      </c>
      <c r="D63" t="s">
        <v>484</v>
      </c>
      <c r="E63" s="4">
        <f>HLOOKUP($D$4,'6.1 Investissements'!$E$3:$BE$185,58,0)</f>
        <v>0</v>
      </c>
    </row>
    <row r="64" spans="2:5" x14ac:dyDescent="0.25">
      <c r="C64">
        <v>568</v>
      </c>
      <c r="D64" t="s">
        <v>485</v>
      </c>
      <c r="E64" s="4">
        <f>HLOOKUP($D$4,'6.1 Investissements'!$E$3:$BE$185,59,0)</f>
        <v>0</v>
      </c>
    </row>
    <row r="66" spans="2:5" x14ac:dyDescent="0.25">
      <c r="B66" s="69">
        <v>57</v>
      </c>
      <c r="C66" s="69"/>
      <c r="D66" s="69" t="s">
        <v>487</v>
      </c>
      <c r="E66" s="70">
        <f>SUM(E67:E75)</f>
        <v>0</v>
      </c>
    </row>
    <row r="67" spans="2:5" x14ac:dyDescent="0.25">
      <c r="C67">
        <v>570</v>
      </c>
      <c r="D67" t="s">
        <v>477</v>
      </c>
      <c r="E67" s="4">
        <f>HLOOKUP($D$4,'6.1 Investissements'!$E$3:$BE$185,62,0)</f>
        <v>0</v>
      </c>
    </row>
    <row r="68" spans="2:5" x14ac:dyDescent="0.25">
      <c r="C68">
        <v>571</v>
      </c>
      <c r="D68" t="s">
        <v>478</v>
      </c>
      <c r="E68" s="4">
        <f>HLOOKUP($D$4,'6.1 Investissements'!$E$3:$BE$185,63,0)</f>
        <v>0</v>
      </c>
    </row>
    <row r="69" spans="2:5" x14ac:dyDescent="0.25">
      <c r="C69">
        <v>572</v>
      </c>
      <c r="D69" t="s">
        <v>479</v>
      </c>
      <c r="E69" s="4">
        <f>HLOOKUP($D$4,'6.1 Investissements'!$E$3:$BE$185,64,0)</f>
        <v>0</v>
      </c>
    </row>
    <row r="70" spans="2:5" x14ac:dyDescent="0.25">
      <c r="C70">
        <v>573</v>
      </c>
      <c r="D70" t="s">
        <v>480</v>
      </c>
      <c r="E70" s="4">
        <f>HLOOKUP($D$4,'6.1 Investissements'!$E$3:$BE$185,65,0)</f>
        <v>0</v>
      </c>
    </row>
    <row r="71" spans="2:5" x14ac:dyDescent="0.25">
      <c r="C71">
        <v>574</v>
      </c>
      <c r="D71" t="s">
        <v>481</v>
      </c>
      <c r="E71" s="4">
        <f>HLOOKUP($D$4,'6.1 Investissements'!$E$3:$BE$185,66,0)</f>
        <v>0</v>
      </c>
    </row>
    <row r="72" spans="2:5" x14ac:dyDescent="0.25">
      <c r="C72">
        <v>575</v>
      </c>
      <c r="D72" t="s">
        <v>482</v>
      </c>
      <c r="E72" s="4">
        <f>HLOOKUP($D$4,'6.1 Investissements'!$E$3:$BE$185,67,0)</f>
        <v>0</v>
      </c>
    </row>
    <row r="73" spans="2:5" x14ac:dyDescent="0.25">
      <c r="C73">
        <v>576</v>
      </c>
      <c r="D73" t="s">
        <v>483</v>
      </c>
      <c r="E73" s="4">
        <f>HLOOKUP($D$4,'6.1 Investissements'!$E$3:$BE$185,68,0)</f>
        <v>0</v>
      </c>
    </row>
    <row r="74" spans="2:5" x14ac:dyDescent="0.25">
      <c r="C74">
        <v>577</v>
      </c>
      <c r="D74" t="s">
        <v>484</v>
      </c>
      <c r="E74" s="4">
        <f>HLOOKUP($D$4,'6.1 Investissements'!$E$3:$BE$185,69,0)</f>
        <v>0</v>
      </c>
    </row>
    <row r="75" spans="2:5" x14ac:dyDescent="0.25">
      <c r="C75">
        <v>578</v>
      </c>
      <c r="D75" t="s">
        <v>485</v>
      </c>
      <c r="E75" s="4">
        <f>HLOOKUP($D$4,'6.1 Investissements'!$E$3:$BE$185,70,0)</f>
        <v>0</v>
      </c>
    </row>
    <row r="77" spans="2:5" x14ac:dyDescent="0.25">
      <c r="B77" s="69">
        <v>58</v>
      </c>
      <c r="C77" s="69"/>
      <c r="D77" s="69" t="s">
        <v>488</v>
      </c>
      <c r="E77" s="70">
        <f>SUM(E78:E83)</f>
        <v>0</v>
      </c>
    </row>
    <row r="78" spans="2:5" x14ac:dyDescent="0.25">
      <c r="C78">
        <v>580</v>
      </c>
      <c r="D78" t="s">
        <v>465</v>
      </c>
      <c r="E78" s="4">
        <f>HLOOKUP($D$4,'6.1 Investissements'!$E$3:$BE$185,73,0)</f>
        <v>0</v>
      </c>
    </row>
    <row r="79" spans="2:5" x14ac:dyDescent="0.25">
      <c r="C79">
        <v>582</v>
      </c>
      <c r="D79" t="s">
        <v>475</v>
      </c>
      <c r="E79" s="4">
        <f>HLOOKUP($D$4,'6.1 Investissements'!$E$3:$BE$185,74,0)</f>
        <v>0</v>
      </c>
    </row>
    <row r="80" spans="2:5" x14ac:dyDescent="0.25">
      <c r="C80">
        <v>584</v>
      </c>
      <c r="D80" t="s">
        <v>257</v>
      </c>
      <c r="E80" s="4">
        <f>HLOOKUP($D$4,'6.1 Investissements'!$E$3:$BE$185,75,0)</f>
        <v>0</v>
      </c>
    </row>
    <row r="81" spans="1:5" x14ac:dyDescent="0.25">
      <c r="C81">
        <v>585</v>
      </c>
      <c r="D81" t="s">
        <v>388</v>
      </c>
      <c r="E81" s="4">
        <f>HLOOKUP($D$4,'6.1 Investissements'!$E$3:$BE$185,76,0)</f>
        <v>0</v>
      </c>
    </row>
    <row r="82" spans="1:5" x14ac:dyDescent="0.25">
      <c r="C82">
        <v>586</v>
      </c>
      <c r="D82" t="s">
        <v>489</v>
      </c>
      <c r="E82" s="4">
        <f>HLOOKUP($D$4,'6.1 Investissements'!$E$3:$BE$185,77,0)</f>
        <v>0</v>
      </c>
    </row>
    <row r="83" spans="1:5" x14ac:dyDescent="0.25">
      <c r="C83">
        <v>589</v>
      </c>
      <c r="D83" t="s">
        <v>490</v>
      </c>
      <c r="E83" s="4">
        <f>HLOOKUP($D$4,'6.1 Investissements'!$E$3:$BE$185,78,0)</f>
        <v>0</v>
      </c>
    </row>
    <row r="85" spans="1:5" x14ac:dyDescent="0.25">
      <c r="B85" s="69">
        <v>59</v>
      </c>
      <c r="C85" s="69"/>
      <c r="D85" s="69" t="s">
        <v>491</v>
      </c>
      <c r="E85" s="70">
        <f>SUM(E86)</f>
        <v>0</v>
      </c>
    </row>
    <row r="86" spans="1:5" x14ac:dyDescent="0.25">
      <c r="C86">
        <v>590</v>
      </c>
      <c r="D86" t="s">
        <v>491</v>
      </c>
      <c r="E86" s="4">
        <f>HLOOKUP($D$4,'6.1 Investissements'!$E$3:$BE$185,81,0)</f>
        <v>0</v>
      </c>
    </row>
    <row r="90" spans="1:5" ht="21" x14ac:dyDescent="0.35">
      <c r="A90" s="104">
        <v>6</v>
      </c>
      <c r="B90" s="104"/>
      <c r="C90" s="104"/>
      <c r="D90" s="104" t="s">
        <v>492</v>
      </c>
      <c r="E90" s="186">
        <f>HLOOKUP($D$4,'6.1 Investissements'!$E$3:$BE$185,85,0)</f>
        <v>0</v>
      </c>
    </row>
    <row r="91" spans="1:5" x14ac:dyDescent="0.25">
      <c r="A91" s="7"/>
      <c r="B91" s="105">
        <v>60</v>
      </c>
      <c r="C91" s="105"/>
      <c r="D91" s="105" t="s">
        <v>493</v>
      </c>
      <c r="E91" s="103">
        <f>SUM(E92:E99)</f>
        <v>0</v>
      </c>
    </row>
    <row r="92" spans="1:5" x14ac:dyDescent="0.25">
      <c r="C92">
        <v>600</v>
      </c>
      <c r="D92" t="s">
        <v>467</v>
      </c>
      <c r="E92" s="4">
        <f>HLOOKUP($D$4,'6.1 Investissements'!$E$3:$BE$185,87,0)</f>
        <v>0</v>
      </c>
    </row>
    <row r="93" spans="1:5" x14ac:dyDescent="0.25">
      <c r="C93">
        <v>601</v>
      </c>
      <c r="D93" t="s">
        <v>468</v>
      </c>
      <c r="E93" s="4">
        <f>HLOOKUP($D$4,'6.1 Investissements'!$E$3:$BE$185,88,0)</f>
        <v>0</v>
      </c>
    </row>
    <row r="94" spans="1:5" x14ac:dyDescent="0.25">
      <c r="C94">
        <v>602</v>
      </c>
      <c r="D94" t="s">
        <v>469</v>
      </c>
      <c r="E94" s="4">
        <f>HLOOKUP($D$4,'6.1 Investissements'!$E$3:$BE$185,89,0)</f>
        <v>0</v>
      </c>
    </row>
    <row r="95" spans="1:5" x14ac:dyDescent="0.25">
      <c r="C95">
        <v>603</v>
      </c>
      <c r="D95" t="s">
        <v>470</v>
      </c>
      <c r="E95" s="4">
        <f>HLOOKUP($D$4,'6.1 Investissements'!$E$3:$BE$185,90,0)</f>
        <v>0</v>
      </c>
    </row>
    <row r="96" spans="1:5" x14ac:dyDescent="0.25">
      <c r="C96">
        <v>604</v>
      </c>
      <c r="D96" t="s">
        <v>471</v>
      </c>
      <c r="E96" s="4">
        <f>HLOOKUP($D$4,'6.1 Investissements'!$E$3:$BE$185,91,0)</f>
        <v>0</v>
      </c>
    </row>
    <row r="97" spans="2:5" x14ac:dyDescent="0.25">
      <c r="C97">
        <v>605</v>
      </c>
      <c r="D97" t="s">
        <v>472</v>
      </c>
      <c r="E97" s="4">
        <f>HLOOKUP($D$4,'6.1 Investissements'!$E$3:$BE$185,92,0)</f>
        <v>0</v>
      </c>
    </row>
    <row r="98" spans="2:5" x14ac:dyDescent="0.25">
      <c r="C98">
        <v>606</v>
      </c>
      <c r="D98" t="s">
        <v>473</v>
      </c>
      <c r="E98" s="4">
        <f>HLOOKUP($D$4,'6.1 Investissements'!$E$3:$BE$185,93,0)</f>
        <v>0</v>
      </c>
    </row>
    <row r="99" spans="2:5" x14ac:dyDescent="0.25">
      <c r="C99">
        <v>609</v>
      </c>
      <c r="D99" t="s">
        <v>474</v>
      </c>
      <c r="E99" s="4">
        <f>HLOOKUP($D$4,'6.1 Investissements'!$E$3:$BE$185,94,0)</f>
        <v>0</v>
      </c>
    </row>
    <row r="101" spans="2:5" x14ac:dyDescent="0.25">
      <c r="B101" s="105">
        <v>61</v>
      </c>
      <c r="C101" s="105"/>
      <c r="D101" s="105" t="s">
        <v>494</v>
      </c>
      <c r="E101" s="103">
        <f>SUM(E102:E109)</f>
        <v>0</v>
      </c>
    </row>
    <row r="102" spans="2:5" x14ac:dyDescent="0.25">
      <c r="C102">
        <v>610</v>
      </c>
      <c r="D102" t="s">
        <v>467</v>
      </c>
      <c r="E102" s="4">
        <f>HLOOKUP($D$4,'6.1 Investissements'!$E$3:$BE$185,97,0)</f>
        <v>0</v>
      </c>
    </row>
    <row r="103" spans="2:5" x14ac:dyDescent="0.25">
      <c r="C103">
        <v>611</v>
      </c>
      <c r="D103" t="s">
        <v>468</v>
      </c>
      <c r="E103" s="4">
        <f>HLOOKUP($D$4,'6.1 Investissements'!$E$3:$BE$185,98,0)</f>
        <v>0</v>
      </c>
    </row>
    <row r="104" spans="2:5" x14ac:dyDescent="0.25">
      <c r="C104">
        <v>612</v>
      </c>
      <c r="D104" t="s">
        <v>469</v>
      </c>
      <c r="E104" s="4">
        <f>HLOOKUP($D$4,'6.1 Investissements'!$E$3:$BE$185,99,0)</f>
        <v>0</v>
      </c>
    </row>
    <row r="105" spans="2:5" x14ac:dyDescent="0.25">
      <c r="C105">
        <v>613</v>
      </c>
      <c r="D105" t="s">
        <v>470</v>
      </c>
      <c r="E105" s="4">
        <f>HLOOKUP($D$4,'6.1 Investissements'!$E$3:$BE$185,100,0)</f>
        <v>0</v>
      </c>
    </row>
    <row r="106" spans="2:5" x14ac:dyDescent="0.25">
      <c r="C106">
        <v>614</v>
      </c>
      <c r="D106" t="s">
        <v>471</v>
      </c>
      <c r="E106" s="4">
        <f>HLOOKUP($D$4,'6.1 Investissements'!$E$3:$BE$185,101,0)</f>
        <v>0</v>
      </c>
    </row>
    <row r="107" spans="2:5" x14ac:dyDescent="0.25">
      <c r="C107">
        <v>615</v>
      </c>
      <c r="D107" t="s">
        <v>472</v>
      </c>
      <c r="E107" s="4">
        <f>HLOOKUP($D$4,'6.1 Investissements'!$E$3:$BE$185,102,0)</f>
        <v>0</v>
      </c>
    </row>
    <row r="108" spans="2:5" x14ac:dyDescent="0.25">
      <c r="C108">
        <v>616</v>
      </c>
      <c r="D108" t="s">
        <v>473</v>
      </c>
      <c r="E108" s="4">
        <f>HLOOKUP($D$4,'6.1 Investissements'!$E$3:$BE$185,103,0)</f>
        <v>0</v>
      </c>
    </row>
    <row r="109" spans="2:5" x14ac:dyDescent="0.25">
      <c r="C109">
        <v>619</v>
      </c>
      <c r="D109" t="s">
        <v>474</v>
      </c>
      <c r="E109" s="4">
        <f>HLOOKUP($D$4,'6.1 Investissements'!$E$3:$BE$185,104,0)</f>
        <v>0</v>
      </c>
    </row>
    <row r="111" spans="2:5" x14ac:dyDescent="0.25">
      <c r="B111" s="105">
        <v>62</v>
      </c>
      <c r="C111" s="105"/>
      <c r="D111" s="105" t="s">
        <v>495</v>
      </c>
      <c r="E111" s="103">
        <f>SUM(E112:E114)</f>
        <v>0</v>
      </c>
    </row>
    <row r="112" spans="2:5" x14ac:dyDescent="0.25">
      <c r="C112">
        <v>620</v>
      </c>
      <c r="D112" t="s">
        <v>375</v>
      </c>
      <c r="E112" s="4">
        <f>HLOOKUP($D$4,'6.1 Investissements'!$E$3:$BE$185,107,0)</f>
        <v>0</v>
      </c>
    </row>
    <row r="113" spans="2:5" x14ac:dyDescent="0.25">
      <c r="C113">
        <v>621</v>
      </c>
      <c r="D113" t="s">
        <v>376</v>
      </c>
      <c r="E113" s="4">
        <f>HLOOKUP($D$4,'6.1 Investissements'!$E$3:$BE$185,108,0)</f>
        <v>0</v>
      </c>
    </row>
    <row r="114" spans="2:5" x14ac:dyDescent="0.25">
      <c r="C114">
        <v>629</v>
      </c>
      <c r="D114" t="s">
        <v>476</v>
      </c>
      <c r="E114" s="4">
        <f>HLOOKUP($D$4,'6.1 Investissements'!$E$3:$BE$185,109,0)</f>
        <v>0</v>
      </c>
    </row>
    <row r="116" spans="2:5" x14ac:dyDescent="0.25">
      <c r="B116" s="105">
        <v>63</v>
      </c>
      <c r="C116" s="105"/>
      <c r="D116" s="105" t="s">
        <v>496</v>
      </c>
      <c r="E116" s="103">
        <f>SUM(E117:E125)</f>
        <v>0</v>
      </c>
    </row>
    <row r="117" spans="2:5" x14ac:dyDescent="0.25">
      <c r="C117">
        <v>630</v>
      </c>
      <c r="D117" t="s">
        <v>477</v>
      </c>
      <c r="E117" s="4">
        <f>HLOOKUP($D$4,'6.1 Investissements'!$E$3:$BE$185,112,0)</f>
        <v>0</v>
      </c>
    </row>
    <row r="118" spans="2:5" x14ac:dyDescent="0.25">
      <c r="C118">
        <v>631</v>
      </c>
      <c r="D118" t="s">
        <v>478</v>
      </c>
      <c r="E118" s="4">
        <f>HLOOKUP($D$4,'6.1 Investissements'!$E$3:$BE$185,113,0)</f>
        <v>0</v>
      </c>
    </row>
    <row r="119" spans="2:5" x14ac:dyDescent="0.25">
      <c r="C119">
        <v>632</v>
      </c>
      <c r="D119" t="s">
        <v>479</v>
      </c>
      <c r="E119" s="4">
        <f>HLOOKUP($D$4,'6.1 Investissements'!$E$3:$BE$185,114,0)</f>
        <v>0</v>
      </c>
    </row>
    <row r="120" spans="2:5" x14ac:dyDescent="0.25">
      <c r="C120">
        <v>633</v>
      </c>
      <c r="D120" t="s">
        <v>480</v>
      </c>
      <c r="E120" s="4">
        <f>HLOOKUP($D$4,'6.1 Investissements'!$E$3:$BE$185,115,0)</f>
        <v>0</v>
      </c>
    </row>
    <row r="121" spans="2:5" x14ac:dyDescent="0.25">
      <c r="C121">
        <v>634</v>
      </c>
      <c r="D121" t="s">
        <v>481</v>
      </c>
      <c r="E121" s="4">
        <f>HLOOKUP($D$4,'6.1 Investissements'!$E$3:$BE$185,116,0)</f>
        <v>0</v>
      </c>
    </row>
    <row r="122" spans="2:5" x14ac:dyDescent="0.25">
      <c r="C122">
        <v>635</v>
      </c>
      <c r="D122" t="s">
        <v>482</v>
      </c>
      <c r="E122" s="4">
        <f>HLOOKUP($D$4,'6.1 Investissements'!$E$3:$BE$185,117,0)</f>
        <v>0</v>
      </c>
    </row>
    <row r="123" spans="2:5" x14ac:dyDescent="0.25">
      <c r="C123">
        <v>636</v>
      </c>
      <c r="D123" t="s">
        <v>483</v>
      </c>
      <c r="E123" s="4">
        <f>HLOOKUP($D$4,'6.1 Investissements'!$E$3:$BE$185,118,0)</f>
        <v>0</v>
      </c>
    </row>
    <row r="124" spans="2:5" x14ac:dyDescent="0.25">
      <c r="C124">
        <v>637</v>
      </c>
      <c r="D124" t="s">
        <v>484</v>
      </c>
      <c r="E124" s="4">
        <f>HLOOKUP($D$4,'6.1 Investissements'!$E$3:$BE$185,119,0)</f>
        <v>0</v>
      </c>
    </row>
    <row r="125" spans="2:5" x14ac:dyDescent="0.25">
      <c r="C125">
        <v>638</v>
      </c>
      <c r="D125" t="s">
        <v>485</v>
      </c>
      <c r="E125" s="4">
        <f>HLOOKUP($D$4,'6.1 Investissements'!$E$3:$BE$185,120,0)</f>
        <v>0</v>
      </c>
    </row>
    <row r="127" spans="2:5" x14ac:dyDescent="0.25">
      <c r="B127" s="105">
        <v>64</v>
      </c>
      <c r="C127" s="105"/>
      <c r="D127" s="105" t="s">
        <v>497</v>
      </c>
      <c r="E127" s="103">
        <f>SUM(E128:E136)</f>
        <v>0</v>
      </c>
    </row>
    <row r="128" spans="2:5" x14ac:dyDescent="0.25">
      <c r="C128">
        <v>640</v>
      </c>
      <c r="D128" t="s">
        <v>477</v>
      </c>
      <c r="E128" s="4">
        <f>HLOOKUP($D$4,'6.1 Investissements'!$E$3:$BE$185,123,0)</f>
        <v>0</v>
      </c>
    </row>
    <row r="129" spans="2:5" x14ac:dyDescent="0.25">
      <c r="C129">
        <v>641</v>
      </c>
      <c r="D129" t="s">
        <v>478</v>
      </c>
      <c r="E129" s="4">
        <f>HLOOKUP($D$4,'6.1 Investissements'!$E$3:$BE$185,124,0)</f>
        <v>0</v>
      </c>
    </row>
    <row r="130" spans="2:5" x14ac:dyDescent="0.25">
      <c r="C130">
        <v>642</v>
      </c>
      <c r="D130" t="s">
        <v>479</v>
      </c>
      <c r="E130" s="4">
        <f>HLOOKUP($D$4,'6.1 Investissements'!$E$3:$BE$185,125,0)</f>
        <v>0</v>
      </c>
    </row>
    <row r="131" spans="2:5" x14ac:dyDescent="0.25">
      <c r="C131">
        <v>643</v>
      </c>
      <c r="D131" t="s">
        <v>480</v>
      </c>
      <c r="E131" s="4">
        <f>HLOOKUP($D$4,'6.1 Investissements'!$E$3:$BE$185,126,0)</f>
        <v>0</v>
      </c>
    </row>
    <row r="132" spans="2:5" x14ac:dyDescent="0.25">
      <c r="C132">
        <v>644</v>
      </c>
      <c r="D132" t="s">
        <v>481</v>
      </c>
      <c r="E132" s="4">
        <f>HLOOKUP($D$4,'6.1 Investissements'!$E$3:$BE$185,127,0)</f>
        <v>0</v>
      </c>
    </row>
    <row r="133" spans="2:5" x14ac:dyDescent="0.25">
      <c r="C133">
        <v>645</v>
      </c>
      <c r="D133" t="s">
        <v>482</v>
      </c>
      <c r="E133" s="4">
        <f>HLOOKUP($D$4,'6.1 Investissements'!$E$3:$BE$185,128,0)</f>
        <v>0</v>
      </c>
    </row>
    <row r="134" spans="2:5" x14ac:dyDescent="0.25">
      <c r="C134">
        <v>646</v>
      </c>
      <c r="D134" t="s">
        <v>483</v>
      </c>
      <c r="E134" s="4">
        <f>HLOOKUP($D$4,'6.1 Investissements'!$E$3:$BE$185,129,0)</f>
        <v>0</v>
      </c>
    </row>
    <row r="135" spans="2:5" x14ac:dyDescent="0.25">
      <c r="C135">
        <v>647</v>
      </c>
      <c r="D135" t="s">
        <v>484</v>
      </c>
      <c r="E135" s="4">
        <f>HLOOKUP($D$4,'6.1 Investissements'!$E$3:$BE$185,130,0)</f>
        <v>0</v>
      </c>
    </row>
    <row r="136" spans="2:5" x14ac:dyDescent="0.25">
      <c r="C136">
        <v>648</v>
      </c>
      <c r="D136" t="s">
        <v>485</v>
      </c>
      <c r="E136" s="4">
        <f>HLOOKUP($D$4,'6.1 Investissements'!$E$3:$BE$185,131,0)</f>
        <v>0</v>
      </c>
    </row>
    <row r="138" spans="2:5" x14ac:dyDescent="0.25">
      <c r="B138" s="105">
        <v>65</v>
      </c>
      <c r="C138" s="105"/>
      <c r="D138" s="105" t="s">
        <v>498</v>
      </c>
      <c r="E138" s="103">
        <f>SUM(E139:E147)</f>
        <v>0</v>
      </c>
    </row>
    <row r="139" spans="2:5" x14ac:dyDescent="0.25">
      <c r="C139">
        <v>650</v>
      </c>
      <c r="D139" t="s">
        <v>477</v>
      </c>
      <c r="E139" s="4">
        <f>HLOOKUP($D$4,'6.1 Investissements'!$E$3:$BE$185,134,0)</f>
        <v>0</v>
      </c>
    </row>
    <row r="140" spans="2:5" x14ac:dyDescent="0.25">
      <c r="C140">
        <v>651</v>
      </c>
      <c r="D140" t="s">
        <v>478</v>
      </c>
      <c r="E140" s="4">
        <f>HLOOKUP($D$4,'6.1 Investissements'!$E$3:$BE$185,135,0)</f>
        <v>0</v>
      </c>
    </row>
    <row r="141" spans="2:5" x14ac:dyDescent="0.25">
      <c r="C141">
        <v>652</v>
      </c>
      <c r="D141" t="s">
        <v>479</v>
      </c>
      <c r="E141" s="4">
        <f>HLOOKUP($D$4,'6.1 Investissements'!$E$3:$BE$185,136,0)</f>
        <v>0</v>
      </c>
    </row>
    <row r="142" spans="2:5" x14ac:dyDescent="0.25">
      <c r="C142">
        <v>653</v>
      </c>
      <c r="D142" t="s">
        <v>480</v>
      </c>
      <c r="E142" s="4">
        <f>HLOOKUP($D$4,'6.1 Investissements'!$E$3:$BE$185,137,0)</f>
        <v>0</v>
      </c>
    </row>
    <row r="143" spans="2:5" x14ac:dyDescent="0.25">
      <c r="C143">
        <v>654</v>
      </c>
      <c r="D143" t="s">
        <v>481</v>
      </c>
      <c r="E143" s="4">
        <f>HLOOKUP($D$4,'6.1 Investissements'!$E$3:$BE$185,138,0)</f>
        <v>0</v>
      </c>
    </row>
    <row r="144" spans="2:5" x14ac:dyDescent="0.25">
      <c r="C144">
        <v>655</v>
      </c>
      <c r="D144" t="s">
        <v>482</v>
      </c>
      <c r="E144" s="4">
        <f>HLOOKUP($D$4,'6.1 Investissements'!$E$3:$BE$185,139,0)</f>
        <v>0</v>
      </c>
    </row>
    <row r="145" spans="2:5" x14ac:dyDescent="0.25">
      <c r="C145">
        <v>656</v>
      </c>
      <c r="D145" t="s">
        <v>483</v>
      </c>
      <c r="E145" s="4">
        <f>HLOOKUP($D$4,'6.1 Investissements'!$E$3:$BE$185,140,0)</f>
        <v>0</v>
      </c>
    </row>
    <row r="146" spans="2:5" x14ac:dyDescent="0.25">
      <c r="C146">
        <v>657</v>
      </c>
      <c r="D146" t="s">
        <v>484</v>
      </c>
      <c r="E146" s="4">
        <f>HLOOKUP($D$4,'6.1 Investissements'!$E$3:$BE$185,141,0)</f>
        <v>0</v>
      </c>
    </row>
    <row r="147" spans="2:5" x14ac:dyDescent="0.25">
      <c r="C147">
        <v>658</v>
      </c>
      <c r="D147" t="s">
        <v>485</v>
      </c>
      <c r="E147" s="4">
        <f>HLOOKUP($D$4,'6.1 Investissements'!$E$3:$BE$185,142,0)</f>
        <v>0</v>
      </c>
    </row>
    <row r="149" spans="2:5" x14ac:dyDescent="0.25">
      <c r="B149" s="105">
        <v>66</v>
      </c>
      <c r="C149" s="105"/>
      <c r="D149" s="105" t="s">
        <v>499</v>
      </c>
      <c r="E149" s="103">
        <f>SUM(E150:E158)</f>
        <v>0</v>
      </c>
    </row>
    <row r="150" spans="2:5" x14ac:dyDescent="0.25">
      <c r="C150">
        <v>660</v>
      </c>
      <c r="D150" t="s">
        <v>477</v>
      </c>
      <c r="E150" s="4">
        <f>HLOOKUP($D$4,'6.1 Investissements'!$E$3:$BE$185,145,0)</f>
        <v>0</v>
      </c>
    </row>
    <row r="151" spans="2:5" x14ac:dyDescent="0.25">
      <c r="C151">
        <v>661</v>
      </c>
      <c r="D151" t="s">
        <v>478</v>
      </c>
      <c r="E151" s="4">
        <f>HLOOKUP($D$4,'6.1 Investissements'!$E$3:$BE$185,146,0)</f>
        <v>0</v>
      </c>
    </row>
    <row r="152" spans="2:5" x14ac:dyDescent="0.25">
      <c r="C152">
        <v>662</v>
      </c>
      <c r="D152" t="s">
        <v>479</v>
      </c>
      <c r="E152" s="4">
        <f>HLOOKUP($D$4,'6.1 Investissements'!$E$3:$BE$185,147,0)</f>
        <v>0</v>
      </c>
    </row>
    <row r="153" spans="2:5" x14ac:dyDescent="0.25">
      <c r="C153">
        <v>663</v>
      </c>
      <c r="D153" t="s">
        <v>480</v>
      </c>
      <c r="E153" s="4">
        <f>HLOOKUP($D$4,'6.1 Investissements'!$E$3:$BE$185,148,0)</f>
        <v>0</v>
      </c>
    </row>
    <row r="154" spans="2:5" x14ac:dyDescent="0.25">
      <c r="C154">
        <v>664</v>
      </c>
      <c r="D154" t="s">
        <v>481</v>
      </c>
      <c r="E154" s="4">
        <f>HLOOKUP($D$4,'6.1 Investissements'!$E$3:$BE$185,149,0)</f>
        <v>0</v>
      </c>
    </row>
    <row r="155" spans="2:5" x14ac:dyDescent="0.25">
      <c r="C155">
        <v>665</v>
      </c>
      <c r="D155" t="s">
        <v>482</v>
      </c>
      <c r="E155" s="4">
        <f>HLOOKUP($D$4,'6.1 Investissements'!$E$3:$BE$185,150,0)</f>
        <v>0</v>
      </c>
    </row>
    <row r="156" spans="2:5" x14ac:dyDescent="0.25">
      <c r="C156">
        <v>666</v>
      </c>
      <c r="D156" t="s">
        <v>483</v>
      </c>
      <c r="E156" s="4">
        <f>HLOOKUP($D$4,'6.1 Investissements'!$E$3:$BE$185,151,0)</f>
        <v>0</v>
      </c>
    </row>
    <row r="157" spans="2:5" x14ac:dyDescent="0.25">
      <c r="C157">
        <v>667</v>
      </c>
      <c r="D157" t="s">
        <v>484</v>
      </c>
      <c r="E157" s="4">
        <f>HLOOKUP($D$4,'6.1 Investissements'!$E$3:$BE$185,152,0)</f>
        <v>0</v>
      </c>
    </row>
    <row r="158" spans="2:5" x14ac:dyDescent="0.25">
      <c r="C158">
        <v>668</v>
      </c>
      <c r="D158" t="s">
        <v>485</v>
      </c>
      <c r="E158" s="4">
        <f>HLOOKUP($D$4,'6.1 Investissements'!$E$3:$BE$185,153,0)</f>
        <v>0</v>
      </c>
    </row>
    <row r="160" spans="2:5" x14ac:dyDescent="0.25">
      <c r="B160" s="105">
        <v>67</v>
      </c>
      <c r="C160" s="105"/>
      <c r="D160" s="105" t="s">
        <v>487</v>
      </c>
      <c r="E160" s="103">
        <f>SUM(E161:E169)</f>
        <v>0</v>
      </c>
    </row>
    <row r="161" spans="2:5" x14ac:dyDescent="0.25">
      <c r="C161">
        <v>670</v>
      </c>
      <c r="D161" t="s">
        <v>477</v>
      </c>
      <c r="E161" s="4">
        <f>HLOOKUP($D$4,'6.1 Investissements'!$E$3:$BE$185,156,0)</f>
        <v>0</v>
      </c>
    </row>
    <row r="162" spans="2:5" x14ac:dyDescent="0.25">
      <c r="C162">
        <v>671</v>
      </c>
      <c r="D162" t="s">
        <v>478</v>
      </c>
      <c r="E162" s="4">
        <f>HLOOKUP($D$4,'6.1 Investissements'!$E$3:$BE$185,157,0)</f>
        <v>0</v>
      </c>
    </row>
    <row r="163" spans="2:5" x14ac:dyDescent="0.25">
      <c r="C163">
        <v>672</v>
      </c>
      <c r="D163" t="s">
        <v>479</v>
      </c>
      <c r="E163" s="4">
        <f>HLOOKUP($D$4,'6.1 Investissements'!$E$3:$BE$185,158,0)</f>
        <v>0</v>
      </c>
    </row>
    <row r="164" spans="2:5" x14ac:dyDescent="0.25">
      <c r="C164">
        <v>673</v>
      </c>
      <c r="D164" t="s">
        <v>480</v>
      </c>
      <c r="E164" s="4">
        <f>HLOOKUP($D$4,'6.1 Investissements'!$E$3:$BE$185,159,0)</f>
        <v>0</v>
      </c>
    </row>
    <row r="165" spans="2:5" x14ac:dyDescent="0.25">
      <c r="C165">
        <v>674</v>
      </c>
      <c r="D165" t="s">
        <v>481</v>
      </c>
      <c r="E165" s="4">
        <f>HLOOKUP($D$4,'6.1 Investissements'!$E$3:$BE$185,160,0)</f>
        <v>0</v>
      </c>
    </row>
    <row r="166" spans="2:5" x14ac:dyDescent="0.25">
      <c r="C166">
        <v>675</v>
      </c>
      <c r="D166" t="s">
        <v>482</v>
      </c>
      <c r="E166" s="4">
        <f>HLOOKUP($D$4,'6.1 Investissements'!$E$3:$BE$185,161,0)</f>
        <v>0</v>
      </c>
    </row>
    <row r="167" spans="2:5" x14ac:dyDescent="0.25">
      <c r="C167">
        <v>676</v>
      </c>
      <c r="D167" t="s">
        <v>483</v>
      </c>
      <c r="E167" s="4">
        <f>HLOOKUP($D$4,'6.1 Investissements'!$E$3:$BE$185,162,0)</f>
        <v>0</v>
      </c>
    </row>
    <row r="168" spans="2:5" x14ac:dyDescent="0.25">
      <c r="C168">
        <v>677</v>
      </c>
      <c r="D168" t="s">
        <v>484</v>
      </c>
      <c r="E168" s="4">
        <f>HLOOKUP($D$4,'6.1 Investissements'!$E$3:$BE$185,163,0)</f>
        <v>0</v>
      </c>
    </row>
    <row r="169" spans="2:5" x14ac:dyDescent="0.25">
      <c r="C169">
        <v>678</v>
      </c>
      <c r="D169" t="s">
        <v>485</v>
      </c>
      <c r="E169" s="4">
        <f>HLOOKUP($D$4,'6.1 Investissements'!$E$3:$BE$185,164,0)</f>
        <v>0</v>
      </c>
    </row>
    <row r="171" spans="2:5" x14ac:dyDescent="0.25">
      <c r="B171" s="105">
        <v>68</v>
      </c>
      <c r="C171" s="105"/>
      <c r="D171" s="105" t="s">
        <v>500</v>
      </c>
      <c r="E171" s="187">
        <f>SUM(E172:E178)</f>
        <v>0</v>
      </c>
    </row>
    <row r="172" spans="2:5" x14ac:dyDescent="0.25">
      <c r="C172">
        <v>680</v>
      </c>
      <c r="D172" t="s">
        <v>465</v>
      </c>
      <c r="E172" s="4">
        <f>HLOOKUP($D$4,'6.1 Investissements'!$E$3:$BE$185,167,0)</f>
        <v>0</v>
      </c>
    </row>
    <row r="173" spans="2:5" x14ac:dyDescent="0.25">
      <c r="C173">
        <v>682</v>
      </c>
      <c r="D173" t="s">
        <v>475</v>
      </c>
      <c r="E173" s="4">
        <f>HLOOKUP($D$4,'6.1 Investissements'!$E$3:$BE$185,168,0)</f>
        <v>0</v>
      </c>
    </row>
    <row r="174" spans="2:5" x14ac:dyDescent="0.25">
      <c r="C174">
        <v>683</v>
      </c>
      <c r="D174" t="s">
        <v>501</v>
      </c>
      <c r="E174" s="4">
        <f>HLOOKUP($D$4,'6.1 Investissements'!$E$3:$BE$185,169,0)</f>
        <v>0</v>
      </c>
    </row>
    <row r="175" spans="2:5" x14ac:dyDescent="0.25">
      <c r="C175">
        <v>684</v>
      </c>
      <c r="D175" t="s">
        <v>257</v>
      </c>
      <c r="E175" s="4">
        <f>HLOOKUP($D$4,'6.1 Investissements'!$E$3:$BE$185,170,0)</f>
        <v>0</v>
      </c>
    </row>
    <row r="176" spans="2:5" x14ac:dyDescent="0.25">
      <c r="C176">
        <v>685</v>
      </c>
      <c r="D176" t="s">
        <v>388</v>
      </c>
      <c r="E176" s="4">
        <f>HLOOKUP($D$4,'6.1 Investissements'!$E$3:$BE$185,171,0)</f>
        <v>0</v>
      </c>
    </row>
    <row r="177" spans="2:5" x14ac:dyDescent="0.25">
      <c r="C177">
        <v>686</v>
      </c>
      <c r="D177" t="s">
        <v>502</v>
      </c>
      <c r="E177" s="4">
        <f>HLOOKUP($D$4,'6.1 Investissements'!$E$3:$BE$185,172,0)</f>
        <v>0</v>
      </c>
    </row>
    <row r="178" spans="2:5" x14ac:dyDescent="0.25">
      <c r="C178">
        <v>689</v>
      </c>
      <c r="D178" t="s">
        <v>503</v>
      </c>
      <c r="E178" s="4">
        <f>HLOOKUP($D$4,'6.1 Investissements'!$E$3:$BE$185,173,0)</f>
        <v>0</v>
      </c>
    </row>
    <row r="180" spans="2:5" x14ac:dyDescent="0.25">
      <c r="B180" s="105">
        <v>69</v>
      </c>
      <c r="C180" s="105"/>
      <c r="D180" s="105" t="s">
        <v>504</v>
      </c>
      <c r="E180" s="103">
        <f>SUM(E181)</f>
        <v>6219.65</v>
      </c>
    </row>
    <row r="181" spans="2:5" x14ac:dyDescent="0.25">
      <c r="C181">
        <v>690</v>
      </c>
      <c r="D181" t="s">
        <v>504</v>
      </c>
      <c r="E181" s="4">
        <f>HLOOKUP($D$4,'6.1 Investissements'!$E$3:$BE$185,176,0)</f>
        <v>6219.65</v>
      </c>
    </row>
    <row r="185" spans="2:5" ht="18.75" x14ac:dyDescent="0.3">
      <c r="D185" s="188" t="s">
        <v>225</v>
      </c>
      <c r="E185" s="189">
        <f>HLOOKUP($D$4,'6.1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'6.1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0" t="s">
        <v>505</v>
      </c>
      <c r="B8" s="190"/>
      <c r="C8" s="190"/>
      <c r="D8" s="190"/>
      <c r="E8" s="190"/>
      <c r="F8" s="190"/>
      <c r="G8" s="190"/>
      <c r="H8" s="190"/>
    </row>
    <row r="10" spans="1:8" x14ac:dyDescent="0.25">
      <c r="A10" s="184"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1"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2"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E4" activePane="bottomRight" state="frozen"/>
      <selection pane="topRight" activeCell="E1" sqref="E1"/>
      <selection pane="bottomLeft" activeCell="A4" sqref="A4"/>
      <selection pane="bottomRight" activeCell="F54" sqref="F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4">
        <v>20</v>
      </c>
      <c r="D8" s="134"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3">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4">
        <v>30</v>
      </c>
      <c r="D17" s="134"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0</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0</v>
      </c>
      <c r="BG33" s="4">
        <f t="shared" si="5"/>
        <v>0</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5">
        <v>4</v>
      </c>
      <c r="B36" s="135"/>
      <c r="C36" s="135"/>
      <c r="D36" s="135" t="s">
        <v>589</v>
      </c>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7">
        <v>5</v>
      </c>
      <c r="B57" s="137"/>
      <c r="C57" s="137"/>
      <c r="D57" s="137" t="s">
        <v>302</v>
      </c>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39">
        <v>6</v>
      </c>
      <c r="B60" s="139"/>
      <c r="C60" s="139"/>
      <c r="D60" s="139" t="s">
        <v>303</v>
      </c>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BH48"/>
  <sheetViews>
    <sheetView tabSelected="1" workbookViewId="0">
      <pane xSplit="4" ySplit="5" topLeftCell="AZ6" activePane="bottomRight" state="frozen"/>
      <selection pane="topRight" activeCell="E1" sqref="E1"/>
      <selection pane="bottomLeft" activeCell="A12" sqref="A12"/>
      <selection pane="bottomRight" activeCell="B55" sqref="B55"/>
    </sheetView>
  </sheetViews>
  <sheetFormatPr baseColWidth="10" defaultRowHeight="15" x14ac:dyDescent="0.25"/>
  <cols>
    <col min="1" max="1" width="51.85546875" customWidth="1"/>
    <col min="2" max="2" width="7.42578125" customWidth="1"/>
    <col min="4" max="4" width="23.85546875" customWidth="1"/>
    <col min="5" max="57" width="15.7109375" hidden="1" customWidth="1"/>
    <col min="58" max="60" width="17.7109375" customWidth="1"/>
  </cols>
  <sheetData>
    <row r="2" spans="1:60" ht="18.75" x14ac:dyDescent="0.3">
      <c r="A2" s="228" t="s">
        <v>505</v>
      </c>
      <c r="B2" s="228"/>
      <c r="C2" s="228"/>
      <c r="D2" s="228"/>
    </row>
    <row r="4" spans="1:60" x14ac:dyDescent="0.25">
      <c r="A4" s="7" t="s">
        <v>506</v>
      </c>
      <c r="B4" s="110"/>
      <c r="C4" s="65" t="s">
        <v>507</v>
      </c>
      <c r="D4" s="65" t="s">
        <v>459</v>
      </c>
      <c r="E4" s="57">
        <f>'4.1 Comptes 2020 natures'!E2</f>
        <v>923</v>
      </c>
      <c r="F4" s="57">
        <f>'4.1 Comptes 2020 natures'!F2</f>
        <v>270</v>
      </c>
      <c r="G4" s="57">
        <f>'4.1 Comptes 2020 natures'!G2</f>
        <v>485</v>
      </c>
      <c r="H4" s="57">
        <f>'4.1 Comptes 2020 natures'!H2</f>
        <v>446</v>
      </c>
      <c r="I4" s="57">
        <f>'4.1 Comptes 2020 natures'!I2</f>
        <v>3631</v>
      </c>
      <c r="J4" s="57">
        <f>'4.1 Comptes 2020 natures'!J2</f>
        <v>3313</v>
      </c>
      <c r="K4" s="57">
        <f>'4.1 Comptes 2020 natures'!K2</f>
        <v>2644</v>
      </c>
      <c r="L4" s="57">
        <f>'4.1 Comptes 2020 natures'!L2</f>
        <v>12618</v>
      </c>
      <c r="M4" s="57">
        <f>'4.1 Comptes 2020 natures'!M2</f>
        <v>1371</v>
      </c>
      <c r="N4" s="57">
        <f>'4.1 Comptes 2020 natures'!N2</f>
        <v>118</v>
      </c>
      <c r="O4" s="57">
        <f>'4.1 Comptes 2020 natures'!O2</f>
        <v>7167</v>
      </c>
      <c r="P4" s="57">
        <f>'4.1 Comptes 2020 natures'!P2</f>
        <v>528</v>
      </c>
      <c r="Q4" s="57">
        <f>'4.1 Comptes 2020 natures'!Q2</f>
        <v>108</v>
      </c>
      <c r="R4" s="57">
        <f>'4.1 Comptes 2020 natures'!R2</f>
        <v>415</v>
      </c>
      <c r="S4" s="57">
        <f>'4.1 Comptes 2020 natures'!S2</f>
        <v>349</v>
      </c>
      <c r="T4" s="57">
        <f>'4.1 Comptes 2020 natures'!T2</f>
        <v>687</v>
      </c>
      <c r="U4" s="57">
        <f>'4.1 Comptes 2020 natures'!U2</f>
        <v>255</v>
      </c>
      <c r="V4" s="57">
        <f>'4.1 Comptes 2020 natures'!V2</f>
        <v>436</v>
      </c>
      <c r="W4" s="57">
        <f>'4.1 Comptes 2020 natures'!W2</f>
        <v>3190</v>
      </c>
      <c r="X4" s="57">
        <f>'4.1 Comptes 2020 natures'!X2</f>
        <v>324</v>
      </c>
      <c r="Y4" s="57">
        <f>'4.1 Comptes 2020 natures'!Y2</f>
        <v>1246</v>
      </c>
      <c r="Z4" s="57">
        <f>'4.1 Comptes 2020 natures'!Z2</f>
        <v>1528</v>
      </c>
      <c r="AA4" s="57">
        <f>'4.1 Comptes 2020 natures'!AA2</f>
        <v>96</v>
      </c>
      <c r="AB4" s="57">
        <f>'4.1 Comptes 2020 natures'!AB2</f>
        <v>149</v>
      </c>
      <c r="AC4" s="57">
        <f>'4.1 Comptes 2020 natures'!AC2</f>
        <v>516</v>
      </c>
      <c r="AD4" s="57">
        <f>'4.1 Comptes 2020 natures'!AD2</f>
        <v>671</v>
      </c>
      <c r="AE4" s="57">
        <f>'4.1 Comptes 2020 natures'!AE2</f>
        <v>572</v>
      </c>
      <c r="AF4" s="57">
        <f>'4.1 Comptes 2020 natures'!AF2</f>
        <v>490</v>
      </c>
      <c r="AG4" s="57">
        <f>'4.1 Comptes 2020 natures'!AG2</f>
        <v>1914</v>
      </c>
      <c r="AH4" s="57">
        <f>'4.1 Comptes 2020 natures'!AH2</f>
        <v>2615</v>
      </c>
      <c r="AI4" s="57">
        <f>'4.1 Comptes 2020 natures'!AI2</f>
        <v>227</v>
      </c>
      <c r="AJ4" s="57">
        <f>'4.1 Comptes 2020 natures'!AJ2</f>
        <v>131</v>
      </c>
      <c r="AK4" s="57">
        <f>'4.1 Comptes 2020 natures'!AK2</f>
        <v>1895</v>
      </c>
      <c r="AL4" s="57">
        <f>'4.1 Comptes 2020 natures'!AL2</f>
        <v>1135</v>
      </c>
      <c r="AM4" s="57">
        <f>'4.1 Comptes 2020 natures'!AM2</f>
        <v>1241</v>
      </c>
      <c r="AN4" s="57">
        <f>'4.1 Comptes 2020 natures'!AN2</f>
        <v>119</v>
      </c>
      <c r="AO4" s="57">
        <f>'4.1 Comptes 2020 natures'!AO2</f>
        <v>1195</v>
      </c>
      <c r="AP4" s="57">
        <f>'4.1 Comptes 2020 natures'!AP2</f>
        <v>663</v>
      </c>
      <c r="AQ4" s="57">
        <f>'4.1 Comptes 2020 natures'!AQ2</f>
        <v>645</v>
      </c>
      <c r="AR4" s="57">
        <f>'4.1 Comptes 2020 natures'!AR2</f>
        <v>1263</v>
      </c>
      <c r="AS4" s="57">
        <f>'4.1 Comptes 2020 natures'!AS2</f>
        <v>740</v>
      </c>
      <c r="AT4" s="57">
        <f>'4.1 Comptes 2020 natures'!AT2</f>
        <v>1028</v>
      </c>
      <c r="AU4" s="57">
        <f>'4.1 Comptes 2020 natures'!AU2</f>
        <v>314</v>
      </c>
      <c r="AV4" s="57">
        <f>'4.1 Comptes 2020 natures'!AV2</f>
        <v>2400</v>
      </c>
      <c r="AW4" s="57">
        <f>'4.1 Comptes 2020 natures'!AW2</f>
        <v>755</v>
      </c>
      <c r="AX4" s="57">
        <f>'4.1 Comptes 2020 natures'!AX2</f>
        <v>181</v>
      </c>
      <c r="AY4" s="57">
        <f>'4.1 Comptes 2020 natures'!AY2</f>
        <v>347</v>
      </c>
      <c r="AZ4" s="57">
        <f>'4.1 Comptes 2020 natures'!AZ2</f>
        <v>1690</v>
      </c>
      <c r="BA4" s="57">
        <f>'4.1 Comptes 2020 natures'!BA2</f>
        <v>387</v>
      </c>
      <c r="BB4" s="57">
        <f>'4.1 Comptes 2020 natures'!BB2</f>
        <v>1096</v>
      </c>
      <c r="BC4" s="57">
        <f>'4.1 Comptes 2020 natures'!BC2</f>
        <v>188</v>
      </c>
      <c r="BD4" s="57">
        <f>'4.1 Comptes 2020 natures'!BD2</f>
        <v>6434</v>
      </c>
      <c r="BE4" s="57">
        <f>'4.1 Comptes 2020 natures'!BE2</f>
        <v>560</v>
      </c>
      <c r="BF4" s="57">
        <f>'4.1 Comptes 2020 natures'!BG2</f>
        <v>38954</v>
      </c>
      <c r="BG4" s="57">
        <f>'4.1 Comptes 2020 natures'!BH2</f>
        <v>10479</v>
      </c>
      <c r="BH4" s="57">
        <f>'4.1 Comptes 2020 natures'!BI2</f>
        <v>24276</v>
      </c>
    </row>
    <row r="5" spans="1:60" x14ac:dyDescent="0.25">
      <c r="B5" s="110"/>
      <c r="E5" s="43" t="s">
        <v>56</v>
      </c>
      <c r="F5" s="43" t="s">
        <v>18</v>
      </c>
      <c r="G5" s="43" t="s">
        <v>57</v>
      </c>
      <c r="H5" s="43" t="s">
        <v>53</v>
      </c>
      <c r="I5" s="43" t="s">
        <v>33</v>
      </c>
      <c r="J5" s="43" t="s">
        <v>10</v>
      </c>
      <c r="K5" s="43" t="s">
        <v>15</v>
      </c>
      <c r="L5" s="43" t="s">
        <v>28</v>
      </c>
      <c r="M5" s="43" t="s">
        <v>42</v>
      </c>
      <c r="N5" s="43" t="s">
        <v>23</v>
      </c>
      <c r="O5" s="43" t="s">
        <v>22</v>
      </c>
      <c r="P5" s="43" t="s">
        <v>13</v>
      </c>
      <c r="Q5" s="43" t="s">
        <v>17</v>
      </c>
      <c r="R5" s="43" t="s">
        <v>43</v>
      </c>
      <c r="S5" s="43" t="s">
        <v>40</v>
      </c>
      <c r="T5" s="43" t="s">
        <v>31</v>
      </c>
      <c r="U5" s="43" t="s">
        <v>12</v>
      </c>
      <c r="V5" s="43" t="s">
        <v>59</v>
      </c>
      <c r="W5" s="43" t="s">
        <v>27</v>
      </c>
      <c r="X5" s="44" t="s">
        <v>30</v>
      </c>
      <c r="Y5" s="44" t="s">
        <v>20</v>
      </c>
      <c r="Z5" s="44" t="s">
        <v>45</v>
      </c>
      <c r="AA5" s="44" t="s">
        <v>71</v>
      </c>
      <c r="AB5" s="44" t="s">
        <v>39</v>
      </c>
      <c r="AC5" s="44" t="s">
        <v>19</v>
      </c>
      <c r="AD5" s="44" t="s">
        <v>41</v>
      </c>
      <c r="AE5" s="44" t="s">
        <v>36</v>
      </c>
      <c r="AF5" s="44" t="s">
        <v>7</v>
      </c>
      <c r="AG5" s="44" t="s">
        <v>55</v>
      </c>
      <c r="AH5" s="44" t="s">
        <v>21</v>
      </c>
      <c r="AI5" s="44" t="s">
        <v>6</v>
      </c>
      <c r="AJ5" s="44" t="s">
        <v>34</v>
      </c>
      <c r="AK5" s="45" t="s">
        <v>52</v>
      </c>
      <c r="AL5" s="45" t="s">
        <v>14</v>
      </c>
      <c r="AM5" s="45" t="s">
        <v>32</v>
      </c>
      <c r="AN5" s="45" t="s">
        <v>29</v>
      </c>
      <c r="AO5" s="45" t="s">
        <v>26</v>
      </c>
      <c r="AP5" s="45" t="s">
        <v>48</v>
      </c>
      <c r="AQ5" s="45" t="s">
        <v>44</v>
      </c>
      <c r="AR5" s="45" t="s">
        <v>37</v>
      </c>
      <c r="AS5" s="45" t="s">
        <v>51</v>
      </c>
      <c r="AT5" s="45" t="s">
        <v>8</v>
      </c>
      <c r="AU5" s="45" t="s">
        <v>24</v>
      </c>
      <c r="AV5" s="45" t="s">
        <v>9</v>
      </c>
      <c r="AW5" s="45" t="s">
        <v>62</v>
      </c>
      <c r="AX5" s="45" t="s">
        <v>46</v>
      </c>
      <c r="AY5" s="45" t="s">
        <v>35</v>
      </c>
      <c r="AZ5" s="45" t="s">
        <v>49</v>
      </c>
      <c r="BA5" s="45" t="s">
        <v>47</v>
      </c>
      <c r="BB5" s="45" t="s">
        <v>58</v>
      </c>
      <c r="BC5" s="45" t="s">
        <v>50</v>
      </c>
      <c r="BD5" s="45" t="s">
        <v>16</v>
      </c>
      <c r="BE5" s="45" t="s">
        <v>25</v>
      </c>
      <c r="BF5" s="48" t="s">
        <v>28</v>
      </c>
      <c r="BG5" s="50" t="s">
        <v>64</v>
      </c>
      <c r="BH5" s="46" t="s">
        <v>16</v>
      </c>
    </row>
    <row r="6" spans="1:60" x14ac:dyDescent="0.25">
      <c r="A6" s="111" t="s">
        <v>259</v>
      </c>
      <c r="B6" s="112" t="s">
        <v>231</v>
      </c>
      <c r="C6" s="111">
        <v>20</v>
      </c>
      <c r="D6" s="113">
        <f>'Base de données indicateurs1'!BF8</f>
        <v>571106199.83999968</v>
      </c>
      <c r="E6" s="4">
        <f>'Base de données indicateurs1'!E8</f>
        <v>7710885.7000000002</v>
      </c>
      <c r="F6" s="4">
        <f>'Base de données indicateurs1'!F8</f>
        <v>1661251.45</v>
      </c>
      <c r="G6" s="4">
        <f>'Base de données indicateurs1'!G8</f>
        <v>6404558.5199999996</v>
      </c>
      <c r="H6" s="4">
        <f>'Base de données indicateurs1'!H8</f>
        <v>4613400.9400000004</v>
      </c>
      <c r="I6" s="4">
        <f>'Base de données indicateurs1'!I8</f>
        <v>26343468</v>
      </c>
      <c r="J6" s="4">
        <f>'Base de données indicateurs1'!J8</f>
        <v>21137174.780000001</v>
      </c>
      <c r="K6" s="4">
        <f>'Base de données indicateurs1'!K8</f>
        <v>11484688.109999999</v>
      </c>
      <c r="L6" s="4">
        <f>'Base de données indicateurs1'!L8</f>
        <v>125557688.95</v>
      </c>
      <c r="M6" s="4">
        <f>'Base de données indicateurs1'!M8</f>
        <v>5868070.6299999999</v>
      </c>
      <c r="N6" s="4">
        <f>'Base de données indicateurs1'!N8</f>
        <v>0</v>
      </c>
      <c r="O6" s="4">
        <f>'Base de données indicateurs1'!O8</f>
        <v>39464606.920000002</v>
      </c>
      <c r="P6" s="4">
        <f>'Base de données indicateurs1'!P8</f>
        <v>3674228.88</v>
      </c>
      <c r="Q6" s="4">
        <f>'Base de données indicateurs1'!Q8</f>
        <v>585366.75</v>
      </c>
      <c r="R6" s="4">
        <f>'Base de données indicateurs1'!R8</f>
        <v>3329882.66</v>
      </c>
      <c r="S6" s="4">
        <f>'Base de données indicateurs1'!S8</f>
        <v>4328768.28</v>
      </c>
      <c r="T6" s="4">
        <f>'Base de données indicateurs1'!T8</f>
        <v>5790676.8899999997</v>
      </c>
      <c r="U6" s="4">
        <f>'Base de données indicateurs1'!U8</f>
        <v>1064577.6299999999</v>
      </c>
      <c r="V6" s="4">
        <f>'Base de données indicateurs1'!V8</f>
        <v>2952271.95</v>
      </c>
      <c r="W6" s="4">
        <f>'Base de données indicateurs1'!W8</f>
        <v>16108731.58</v>
      </c>
      <c r="X6" s="4">
        <f>'Base de données indicateurs1'!X8</f>
        <v>701824</v>
      </c>
      <c r="Y6" s="4">
        <f>'Base de données indicateurs1'!Y8</f>
        <v>12393883.23</v>
      </c>
      <c r="Z6" s="4">
        <f>'Base de données indicateurs1'!Z8</f>
        <v>13352559.84</v>
      </c>
      <c r="AA6" s="4">
        <f>'Base de données indicateurs1'!AA8</f>
        <v>650530</v>
      </c>
      <c r="AB6" s="4">
        <f>'Base de données indicateurs1'!AB8</f>
        <v>1324155.57</v>
      </c>
      <c r="AC6" s="4">
        <f>'Base de données indicateurs1'!AC8</f>
        <v>3262180.61</v>
      </c>
      <c r="AD6" s="4">
        <f>'Base de données indicateurs1'!AD8</f>
        <v>7901506.1299999999</v>
      </c>
      <c r="AE6" s="4">
        <f>'Base de données indicateurs1'!AE8</f>
        <v>4184157.13</v>
      </c>
      <c r="AF6" s="4">
        <f>'Base de données indicateurs1'!AF8</f>
        <v>1835141.4</v>
      </c>
      <c r="AG6" s="4">
        <f>'Base de données indicateurs1'!AG8</f>
        <v>7913147.3899999997</v>
      </c>
      <c r="AH6" s="4">
        <f>'Base de données indicateurs1'!AH8</f>
        <v>21041584</v>
      </c>
      <c r="AI6" s="4">
        <f>'Base de données indicateurs1'!AI8</f>
        <v>1029453</v>
      </c>
      <c r="AJ6" s="4">
        <f>'Base de données indicateurs1'!AJ8</f>
        <v>737274</v>
      </c>
      <c r="AK6" s="4">
        <f>'Base de données indicateurs1'!AK8</f>
        <v>17215810.02</v>
      </c>
      <c r="AL6" s="4">
        <f>'Base de données indicateurs1'!AL8</f>
        <v>16414</v>
      </c>
      <c r="AM6" s="4">
        <f>'Base de données indicateurs1'!AM8</f>
        <v>11723916.060000001</v>
      </c>
      <c r="AN6" s="4">
        <f>'Base de données indicateurs1'!AN8</f>
        <v>11500</v>
      </c>
      <c r="AO6" s="4">
        <f>'Base de données indicateurs1'!AO8</f>
        <v>11108782.970000001</v>
      </c>
      <c r="AP6" s="4">
        <f>'Base de données indicateurs1'!AP8</f>
        <v>5180403.1399999997</v>
      </c>
      <c r="AQ6" s="4">
        <f>'Base de données indicateurs1'!AQ8</f>
        <v>4581586</v>
      </c>
      <c r="AR6" s="4">
        <f>'Base de données indicateurs1'!AR8</f>
        <v>9798705.8300000001</v>
      </c>
      <c r="AS6" s="4">
        <f>'Base de données indicateurs1'!AS8</f>
        <v>5672676.1900000004</v>
      </c>
      <c r="AT6" s="4">
        <f>'Base de données indicateurs1'!AT8</f>
        <v>8438512.1400000006</v>
      </c>
      <c r="AU6" s="4">
        <f>'Base de données indicateurs1'!AU8</f>
        <v>2009618.65</v>
      </c>
      <c r="AV6" s="4">
        <f>'Base de données indicateurs1'!AV8</f>
        <v>14597972.57</v>
      </c>
      <c r="AW6" s="4">
        <f>'Base de données indicateurs1'!AW8</f>
        <v>6019600.25</v>
      </c>
      <c r="AX6" s="4">
        <f>'Base de données indicateurs1'!AX8</f>
        <v>982153.85</v>
      </c>
      <c r="AY6" s="4">
        <f>'Base de données indicateurs1'!AY8</f>
        <v>2091959</v>
      </c>
      <c r="AZ6" s="4">
        <f>'Base de données indicateurs1'!AZ8</f>
        <v>21006891.079999998</v>
      </c>
      <c r="BA6" s="4">
        <f>'Base de données indicateurs1'!BA8</f>
        <v>1270560.3899999999</v>
      </c>
      <c r="BB6" s="4">
        <f>'Base de données indicateurs1'!BB8</f>
        <v>10609246.140000001</v>
      </c>
      <c r="BC6" s="4">
        <f>'Base de données indicateurs1'!BC8</f>
        <v>295678.96000000002</v>
      </c>
      <c r="BD6" s="4">
        <f>'Base de données indicateurs1'!BD8</f>
        <v>69341997.879999995</v>
      </c>
      <c r="BE6" s="4">
        <f>'Base de données indicateurs1'!BE8</f>
        <v>4724519.8</v>
      </c>
      <c r="BF6" s="4">
        <f>SUM(E6:W6)</f>
        <v>288080298.61999995</v>
      </c>
      <c r="BG6" s="4">
        <f>SUM(X6:AJ6)</f>
        <v>76327396.300000012</v>
      </c>
      <c r="BH6" s="4">
        <f>SUM(AK6:BE6)</f>
        <v>206698504.91999999</v>
      </c>
    </row>
    <row r="7" spans="1:60" x14ac:dyDescent="0.25">
      <c r="A7" s="114" t="s">
        <v>247</v>
      </c>
      <c r="B7" s="115" t="s">
        <v>232</v>
      </c>
      <c r="C7" s="114">
        <v>10</v>
      </c>
      <c r="D7" s="116">
        <f>'Base de données indicateurs1'!BF5</f>
        <v>323165740.7100001</v>
      </c>
      <c r="E7" s="4">
        <f>'Base de données indicateurs1'!E5</f>
        <v>5729343.4000000004</v>
      </c>
      <c r="F7" s="4">
        <f>'Base de données indicateurs1'!F5</f>
        <v>1313751.3999999999</v>
      </c>
      <c r="G7" s="4">
        <f>'Base de données indicateurs1'!G5</f>
        <v>4291473.13</v>
      </c>
      <c r="H7" s="4">
        <f>'Base de données indicateurs1'!H5</f>
        <v>4279580.0599999996</v>
      </c>
      <c r="I7" s="4">
        <f>'Base de données indicateurs1'!I5</f>
        <v>15173301</v>
      </c>
      <c r="J7" s="4">
        <f>'Base de données indicateurs1'!J5</f>
        <v>8024691.8499999996</v>
      </c>
      <c r="K7" s="4">
        <f>'Base de données indicateurs1'!K5</f>
        <v>10459838.140000001</v>
      </c>
      <c r="L7" s="4">
        <f>'Base de données indicateurs1'!L5</f>
        <v>55034877.579999998</v>
      </c>
      <c r="M7" s="4">
        <f>'Base de données indicateurs1'!M5</f>
        <v>3743166.68</v>
      </c>
      <c r="N7" s="4">
        <f>'Base de données indicateurs1'!N5</f>
        <v>0</v>
      </c>
      <c r="O7" s="4">
        <f>'Base de données indicateurs1'!O5</f>
        <v>17870825.219999999</v>
      </c>
      <c r="P7" s="4">
        <f>'Base de données indicateurs1'!P5</f>
        <v>2306934.9900000002</v>
      </c>
      <c r="Q7" s="4">
        <f>'Base de données indicateurs1'!Q5</f>
        <v>340332.25</v>
      </c>
      <c r="R7" s="4">
        <f>'Base de données indicateurs1'!R5</f>
        <v>1454384.04</v>
      </c>
      <c r="S7" s="4">
        <f>'Base de données indicateurs1'!S5</f>
        <v>2174540.65</v>
      </c>
      <c r="T7" s="4">
        <f>'Base de données indicateurs1'!T5</f>
        <v>5578034.3600000003</v>
      </c>
      <c r="U7" s="4">
        <f>'Base de données indicateurs1'!U5</f>
        <v>771790.42</v>
      </c>
      <c r="V7" s="4">
        <f>'Base de données indicateurs1'!V5</f>
        <v>2513060.25</v>
      </c>
      <c r="W7" s="4">
        <f>'Base de données indicateurs1'!W5</f>
        <v>5690503.7400000002</v>
      </c>
      <c r="X7" s="4">
        <f>'Base de données indicateurs1'!X5</f>
        <v>1782334</v>
      </c>
      <c r="Y7" s="4">
        <f>'Base de données indicateurs1'!Y5</f>
        <v>4607305.3099999996</v>
      </c>
      <c r="Z7" s="4">
        <f>'Base de données indicateurs1'!Z5</f>
        <v>22337836.73</v>
      </c>
      <c r="AA7" s="4">
        <f>'Base de données indicateurs1'!AA5</f>
        <v>514539</v>
      </c>
      <c r="AB7" s="4">
        <f>'Base de données indicateurs1'!AB5</f>
        <v>1164911.31</v>
      </c>
      <c r="AC7" s="4">
        <f>'Base de données indicateurs1'!AC5</f>
        <v>3000469.46</v>
      </c>
      <c r="AD7" s="4">
        <f>'Base de données indicateurs1'!AD5</f>
        <v>1298160.8999999999</v>
      </c>
      <c r="AE7" s="4">
        <f>'Base de données indicateurs1'!AE5</f>
        <v>2898436.1</v>
      </c>
      <c r="AF7" s="4">
        <f>'Base de données indicateurs1'!AF5</f>
        <v>4936104.3499999996</v>
      </c>
      <c r="AG7" s="4">
        <f>'Base de données indicateurs1'!AG5</f>
        <v>8990815.1799999997</v>
      </c>
      <c r="AH7" s="4">
        <f>'Base de données indicateurs1'!AH5</f>
        <v>10854437</v>
      </c>
      <c r="AI7" s="4">
        <f>'Base de données indicateurs1'!AI5</f>
        <v>907440</v>
      </c>
      <c r="AJ7" s="4">
        <f>'Base de données indicateurs1'!AJ5</f>
        <v>1868313.05</v>
      </c>
      <c r="AK7" s="4">
        <f>'Base de données indicateurs1'!AK5</f>
        <v>5849957.46</v>
      </c>
      <c r="AL7" s="4">
        <f>'Base de données indicateurs1'!AL5</f>
        <v>3398783</v>
      </c>
      <c r="AM7" s="4">
        <f>'Base de données indicateurs1'!AM5</f>
        <v>4876876.1100000003</v>
      </c>
      <c r="AN7" s="4">
        <f>'Base de données indicateurs1'!AN5</f>
        <v>529407.81999999995</v>
      </c>
      <c r="AO7" s="4">
        <f>'Base de données indicateurs1'!AO5</f>
        <v>14951876</v>
      </c>
      <c r="AP7" s="4">
        <f>'Base de données indicateurs1'!AP5</f>
        <v>3720554.4</v>
      </c>
      <c r="AQ7" s="4">
        <f>'Base de données indicateurs1'!AQ5</f>
        <v>3653484</v>
      </c>
      <c r="AR7" s="4">
        <f>'Base de données indicateurs1'!AR5</f>
        <v>11819557.02</v>
      </c>
      <c r="AS7" s="4">
        <f>'Base de données indicateurs1'!AS5</f>
        <v>2533324.2999999998</v>
      </c>
      <c r="AT7" s="4">
        <f>'Base de données indicateurs1'!AT5</f>
        <v>3348405.97</v>
      </c>
      <c r="AU7" s="4">
        <f>'Base de données indicateurs1'!AU5</f>
        <v>3818782.68</v>
      </c>
      <c r="AV7" s="4">
        <f>'Base de données indicateurs1'!AV5</f>
        <v>4797496.66</v>
      </c>
      <c r="AW7" s="4">
        <f>'Base de données indicateurs1'!AW5</f>
        <v>3077294.98</v>
      </c>
      <c r="AX7" s="4">
        <f>'Base de données indicateurs1'!AX5</f>
        <v>678851.45</v>
      </c>
      <c r="AY7" s="4">
        <f>'Base de données indicateurs1'!AY5</f>
        <v>2029594.24</v>
      </c>
      <c r="AZ7" s="4">
        <f>'Base de données indicateurs1'!AZ5</f>
        <v>4272308.3099999996</v>
      </c>
      <c r="BA7" s="4">
        <f>'Base de données indicateurs1'!BA5</f>
        <v>1690939.23</v>
      </c>
      <c r="BB7" s="4">
        <f>'Base de données indicateurs1'!BB5</f>
        <v>4279723.32</v>
      </c>
      <c r="BC7" s="4">
        <f>'Base de données indicateurs1'!BC5</f>
        <v>866229.02</v>
      </c>
      <c r="BD7" s="4">
        <f>'Base de données indicateurs1'!BD5</f>
        <v>28478770</v>
      </c>
      <c r="BE7" s="4">
        <f>'Base de données indicateurs1'!BE5</f>
        <v>2581993.19</v>
      </c>
      <c r="BF7" s="4">
        <f t="shared" ref="BF7:BF40" si="0">SUM(E7:W7)</f>
        <v>146750429.16000003</v>
      </c>
      <c r="BG7" s="4">
        <f t="shared" ref="BG7:BG40" si="1">SUM(X7:AJ7)</f>
        <v>65161102.390000001</v>
      </c>
      <c r="BH7" s="4">
        <f t="shared" ref="BH7:BH40" si="2">SUM(AK7:BE7)</f>
        <v>111254209.16000001</v>
      </c>
    </row>
    <row r="8" spans="1:60" ht="15.75" thickBot="1" x14ac:dyDescent="0.3">
      <c r="A8" s="117"/>
      <c r="B8" s="118"/>
      <c r="C8" s="117"/>
      <c r="D8" s="119"/>
      <c r="BF8" s="4"/>
      <c r="BG8" s="4"/>
      <c r="BH8" s="4"/>
    </row>
    <row r="9" spans="1:60" ht="15.75" thickBot="1" x14ac:dyDescent="0.3">
      <c r="A9" s="7" t="s">
        <v>509</v>
      </c>
      <c r="B9" s="64"/>
      <c r="C9" s="7"/>
      <c r="D9" s="120">
        <f>D6-D7</f>
        <v>247940459.12999958</v>
      </c>
      <c r="E9" s="4">
        <f>E6-E7</f>
        <v>1981542.2999999998</v>
      </c>
      <c r="F9" s="4">
        <f t="shared" ref="F9:BE9" si="3">F6-F7</f>
        <v>347500.05000000005</v>
      </c>
      <c r="G9" s="4">
        <f t="shared" si="3"/>
        <v>2113085.3899999997</v>
      </c>
      <c r="H9" s="4">
        <f t="shared" si="3"/>
        <v>333820.88000000082</v>
      </c>
      <c r="I9" s="4">
        <f t="shared" si="3"/>
        <v>11170167</v>
      </c>
      <c r="J9" s="4">
        <f t="shared" si="3"/>
        <v>13112482.930000002</v>
      </c>
      <c r="K9" s="4">
        <f t="shared" si="3"/>
        <v>1024849.9699999988</v>
      </c>
      <c r="L9" s="4">
        <f t="shared" si="3"/>
        <v>70522811.370000005</v>
      </c>
      <c r="M9" s="4">
        <f t="shared" si="3"/>
        <v>2124903.9499999997</v>
      </c>
      <c r="N9" s="4">
        <f t="shared" si="3"/>
        <v>0</v>
      </c>
      <c r="O9" s="4">
        <f t="shared" si="3"/>
        <v>21593781.700000003</v>
      </c>
      <c r="P9" s="4">
        <f t="shared" si="3"/>
        <v>1367293.8899999997</v>
      </c>
      <c r="Q9" s="4">
        <f t="shared" si="3"/>
        <v>245034.5</v>
      </c>
      <c r="R9" s="4">
        <f t="shared" si="3"/>
        <v>1875498.62</v>
      </c>
      <c r="S9" s="4">
        <f t="shared" si="3"/>
        <v>2154227.6300000004</v>
      </c>
      <c r="T9" s="4">
        <f t="shared" si="3"/>
        <v>212642.52999999933</v>
      </c>
      <c r="U9" s="4">
        <f t="shared" si="3"/>
        <v>292787.20999999985</v>
      </c>
      <c r="V9" s="4">
        <f t="shared" si="3"/>
        <v>439211.70000000019</v>
      </c>
      <c r="W9" s="4">
        <f t="shared" si="3"/>
        <v>10418227.84</v>
      </c>
      <c r="X9" s="4">
        <f t="shared" si="3"/>
        <v>-1080510</v>
      </c>
      <c r="Y9" s="4">
        <f t="shared" si="3"/>
        <v>7786577.9200000009</v>
      </c>
      <c r="Z9" s="4">
        <f t="shared" si="3"/>
        <v>-8985276.8900000006</v>
      </c>
      <c r="AA9" s="4">
        <f t="shared" si="3"/>
        <v>135991</v>
      </c>
      <c r="AB9" s="4">
        <f t="shared" si="3"/>
        <v>159244.26</v>
      </c>
      <c r="AC9" s="4">
        <f t="shared" si="3"/>
        <v>261711.14999999991</v>
      </c>
      <c r="AD9" s="4">
        <f t="shared" si="3"/>
        <v>6603345.2300000004</v>
      </c>
      <c r="AE9" s="4">
        <f t="shared" si="3"/>
        <v>1285721.0299999998</v>
      </c>
      <c r="AF9" s="4">
        <f t="shared" si="3"/>
        <v>-3100962.9499999997</v>
      </c>
      <c r="AG9" s="4">
        <f t="shared" si="3"/>
        <v>-1077667.79</v>
      </c>
      <c r="AH9" s="4">
        <f t="shared" si="3"/>
        <v>10187147</v>
      </c>
      <c r="AI9" s="4">
        <f t="shared" si="3"/>
        <v>122013</v>
      </c>
      <c r="AJ9" s="4">
        <f t="shared" si="3"/>
        <v>-1131039.05</v>
      </c>
      <c r="AK9" s="4">
        <f t="shared" si="3"/>
        <v>11365852.559999999</v>
      </c>
      <c r="AL9" s="4">
        <f t="shared" si="3"/>
        <v>-3382369</v>
      </c>
      <c r="AM9" s="4">
        <f t="shared" si="3"/>
        <v>6847039.9500000002</v>
      </c>
      <c r="AN9" s="4">
        <f t="shared" si="3"/>
        <v>-517907.81999999995</v>
      </c>
      <c r="AO9" s="4">
        <f t="shared" si="3"/>
        <v>-3843093.0299999993</v>
      </c>
      <c r="AP9" s="4">
        <f t="shared" si="3"/>
        <v>1459848.7399999998</v>
      </c>
      <c r="AQ9" s="4">
        <f t="shared" si="3"/>
        <v>928102</v>
      </c>
      <c r="AR9" s="4">
        <f t="shared" si="3"/>
        <v>-2020851.1899999995</v>
      </c>
      <c r="AS9" s="4">
        <f t="shared" si="3"/>
        <v>3139351.8900000006</v>
      </c>
      <c r="AT9" s="4">
        <f t="shared" si="3"/>
        <v>5090106.17</v>
      </c>
      <c r="AU9" s="4">
        <f t="shared" si="3"/>
        <v>-1809164.0300000003</v>
      </c>
      <c r="AV9" s="4">
        <f t="shared" si="3"/>
        <v>9800475.9100000001</v>
      </c>
      <c r="AW9" s="4">
        <f t="shared" si="3"/>
        <v>2942305.27</v>
      </c>
      <c r="AX9" s="4">
        <f t="shared" si="3"/>
        <v>303302.40000000002</v>
      </c>
      <c r="AY9" s="4">
        <f t="shared" si="3"/>
        <v>62364.760000000009</v>
      </c>
      <c r="AZ9" s="4">
        <f t="shared" si="3"/>
        <v>16734582.77</v>
      </c>
      <c r="BA9" s="4">
        <f t="shared" si="3"/>
        <v>-420378.84000000008</v>
      </c>
      <c r="BB9" s="4">
        <f t="shared" si="3"/>
        <v>6329522.8200000003</v>
      </c>
      <c r="BC9" s="4">
        <f t="shared" si="3"/>
        <v>-570550.06000000006</v>
      </c>
      <c r="BD9" s="4">
        <f t="shared" si="3"/>
        <v>40863227.879999995</v>
      </c>
      <c r="BE9" s="4">
        <f t="shared" si="3"/>
        <v>2142526.61</v>
      </c>
      <c r="BF9" s="4">
        <f t="shared" si="0"/>
        <v>141329869.46000001</v>
      </c>
      <c r="BG9" s="4">
        <f t="shared" si="1"/>
        <v>11166293.91</v>
      </c>
      <c r="BH9" s="4">
        <f t="shared" si="2"/>
        <v>95444295.759999976</v>
      </c>
    </row>
    <row r="10" spans="1:60" x14ac:dyDescent="0.25">
      <c r="B10" s="121"/>
      <c r="D10" s="4"/>
      <c r="BF10" s="4"/>
      <c r="BG10" s="4"/>
      <c r="BH10" s="4"/>
    </row>
    <row r="11" spans="1:60" x14ac:dyDescent="0.25">
      <c r="A11" s="111" t="s">
        <v>285</v>
      </c>
      <c r="B11" s="112" t="s">
        <v>231</v>
      </c>
      <c r="C11" s="111">
        <v>400</v>
      </c>
      <c r="D11" s="113">
        <f>'Base de données indicateurs1'!BF38</f>
        <v>164946900.33999997</v>
      </c>
      <c r="E11" s="4">
        <f>'Base de données indicateurs1'!E38</f>
        <v>2399050.6</v>
      </c>
      <c r="F11" s="4">
        <f>'Base de données indicateurs1'!F38</f>
        <v>537011.25</v>
      </c>
      <c r="G11" s="4">
        <f>'Base de données indicateurs1'!G38</f>
        <v>955512.5</v>
      </c>
      <c r="H11" s="4">
        <f>'Base de données indicateurs1'!H38</f>
        <v>877308.4</v>
      </c>
      <c r="I11" s="4">
        <f>'Base de données indicateurs1'!I38</f>
        <v>6506383</v>
      </c>
      <c r="J11" s="4">
        <f>'Base de données indicateurs1'!J38</f>
        <v>7933663.8499999996</v>
      </c>
      <c r="K11" s="4">
        <f>'Base de données indicateurs1'!K38</f>
        <v>5544167.2999999998</v>
      </c>
      <c r="L11" s="4">
        <f>'Base de données indicateurs1'!L38</f>
        <v>28553161.5</v>
      </c>
      <c r="M11" s="4">
        <f>'Base de données indicateurs1'!M38</f>
        <v>2748752.09</v>
      </c>
      <c r="N11" s="4">
        <f>'Base de données indicateurs1'!N38</f>
        <v>0</v>
      </c>
      <c r="O11" s="4">
        <f>'Base de données indicateurs1'!O38</f>
        <v>13756608</v>
      </c>
      <c r="P11" s="4">
        <f>'Base de données indicateurs1'!P38</f>
        <v>1011339.5</v>
      </c>
      <c r="Q11" s="4">
        <f>'Base de données indicateurs1'!Q38</f>
        <v>180720.2</v>
      </c>
      <c r="R11" s="4">
        <f>'Base de données indicateurs1'!R38</f>
        <v>854184.35</v>
      </c>
      <c r="S11" s="4">
        <f>'Base de données indicateurs1'!S38</f>
        <v>602762.5</v>
      </c>
      <c r="T11" s="4">
        <f>'Base de données indicateurs1'!T38</f>
        <v>1797303.6</v>
      </c>
      <c r="U11" s="4">
        <f>'Base de données indicateurs1'!U38</f>
        <v>494316.95</v>
      </c>
      <c r="V11" s="4">
        <f>'Base de données indicateurs1'!V38</f>
        <v>1157764.6499999999</v>
      </c>
      <c r="W11" s="4">
        <f>'Base de données indicateurs1'!W38</f>
        <v>6519291.7999999998</v>
      </c>
      <c r="X11" s="4">
        <f>'Base de données indicateurs1'!X38</f>
        <v>722638</v>
      </c>
      <c r="Y11" s="4">
        <f>'Base de données indicateurs1'!Y38</f>
        <v>3318239.37</v>
      </c>
      <c r="Z11" s="4">
        <f>'Base de données indicateurs1'!Z38</f>
        <v>2784771.7</v>
      </c>
      <c r="AA11" s="4">
        <f>'Base de données indicateurs1'!AA38</f>
        <v>166231</v>
      </c>
      <c r="AB11" s="4">
        <f>'Base de données indicateurs1'!AB38</f>
        <v>246851.8</v>
      </c>
      <c r="AC11" s="4">
        <f>'Base de données indicateurs1'!AC38</f>
        <v>1347499.1</v>
      </c>
      <c r="AD11" s="4">
        <f>'Base de données indicateurs1'!AD38</f>
        <v>1163704.6499999999</v>
      </c>
      <c r="AE11" s="4">
        <f>'Base de données indicateurs1'!AE38</f>
        <v>1089524.5</v>
      </c>
      <c r="AF11" s="4">
        <f>'Base de données indicateurs1'!AF38</f>
        <v>980100.75</v>
      </c>
      <c r="AG11" s="4">
        <f>'Base de données indicateurs1'!AG38</f>
        <v>4420675.25</v>
      </c>
      <c r="AH11" s="4">
        <f>'Base de données indicateurs1'!AH38</f>
        <v>6191256.5</v>
      </c>
      <c r="AI11" s="4">
        <f>'Base de données indicateurs1'!AI38</f>
        <v>456991</v>
      </c>
      <c r="AJ11" s="4">
        <f>'Base de données indicateurs1'!AJ38</f>
        <v>243519.25</v>
      </c>
      <c r="AK11" s="4">
        <f>'Base de données indicateurs1'!AK38</f>
        <v>4302044.3</v>
      </c>
      <c r="AL11" s="4">
        <f>'Base de données indicateurs1'!AL38</f>
        <v>1732264</v>
      </c>
      <c r="AM11" s="4">
        <f>'Base de données indicateurs1'!AM38</f>
        <v>2498137.9500000002</v>
      </c>
      <c r="AN11" s="4">
        <f>'Base de données indicateurs1'!AN38</f>
        <v>261580.65</v>
      </c>
      <c r="AO11" s="4">
        <f>'Base de données indicateurs1'!AO38</f>
        <v>3827633.75</v>
      </c>
      <c r="AP11" s="4">
        <f>'Base de données indicateurs1'!AP38</f>
        <v>1314195.3</v>
      </c>
      <c r="AQ11" s="4">
        <f>'Base de données indicateurs1'!AQ38</f>
        <v>1533277</v>
      </c>
      <c r="AR11" s="4">
        <f>'Base de données indicateurs1'!AR38</f>
        <v>2280940.4</v>
      </c>
      <c r="AS11" s="4">
        <f>'Base de données indicateurs1'!AS38</f>
        <v>1444177.6</v>
      </c>
      <c r="AT11" s="4">
        <f>'Base de données indicateurs1'!AT38</f>
        <v>2102457.75</v>
      </c>
      <c r="AU11" s="4">
        <f>'Base de données indicateurs1'!AU38</f>
        <v>2205801.5499999998</v>
      </c>
      <c r="AV11" s="4">
        <f>'Base de données indicateurs1'!AV38</f>
        <v>5082414.08</v>
      </c>
      <c r="AW11" s="4">
        <f>'Base de données indicateurs1'!AW38</f>
        <v>1664323.5</v>
      </c>
      <c r="AX11" s="4">
        <f>'Base de données indicateurs1'!AX38</f>
        <v>335760.2</v>
      </c>
      <c r="AY11" s="4">
        <f>'Base de données indicateurs1'!AY38</f>
        <v>756659.25</v>
      </c>
      <c r="AZ11" s="4">
        <f>'Base de données indicateurs1'!AZ38</f>
        <v>4231081.0999999996</v>
      </c>
      <c r="BA11" s="4">
        <f>'Base de données indicateurs1'!BA38</f>
        <v>807108.35</v>
      </c>
      <c r="BB11" s="4">
        <f>'Base de données indicateurs1'!BB38</f>
        <v>2596328.9500000002</v>
      </c>
      <c r="BC11" s="4">
        <f>'Base de données indicateurs1'!BC38</f>
        <v>306282.3</v>
      </c>
      <c r="BD11" s="4">
        <f>'Base de données indicateurs1'!BD38</f>
        <v>19029351.100000001</v>
      </c>
      <c r="BE11" s="4">
        <f>'Base de données indicateurs1'!BE38</f>
        <v>1073776.3500000001</v>
      </c>
      <c r="BF11" s="4">
        <f t="shared" si="0"/>
        <v>82429302.040000007</v>
      </c>
      <c r="BG11" s="4">
        <f t="shared" si="1"/>
        <v>23132002.870000001</v>
      </c>
      <c r="BH11" s="4">
        <f t="shared" si="2"/>
        <v>59385595.430000007</v>
      </c>
    </row>
    <row r="12" spans="1:60" x14ac:dyDescent="0.25">
      <c r="A12" s="114" t="s">
        <v>287</v>
      </c>
      <c r="B12" s="115" t="s">
        <v>231</v>
      </c>
      <c r="C12" s="114">
        <v>401</v>
      </c>
      <c r="D12" s="116">
        <f>'Base de données indicateurs1'!BF39</f>
        <v>27783883.75</v>
      </c>
      <c r="E12" s="4">
        <f>'Base de données indicateurs1'!E39</f>
        <v>186863.75</v>
      </c>
      <c r="F12" s="4">
        <f>'Base de données indicateurs1'!F39</f>
        <v>12530.3</v>
      </c>
      <c r="G12" s="4">
        <f>'Base de données indicateurs1'!G39</f>
        <v>72576.7</v>
      </c>
      <c r="H12" s="4">
        <f>'Base de données indicateurs1'!H39</f>
        <v>82257.149999999994</v>
      </c>
      <c r="I12" s="4">
        <f>'Base de données indicateurs1'!I39</f>
        <v>402270</v>
      </c>
      <c r="J12" s="4">
        <f>'Base de données indicateurs1'!J39</f>
        <v>637302.1</v>
      </c>
      <c r="K12" s="4">
        <f>'Base de données indicateurs1'!K39</f>
        <v>948116.15</v>
      </c>
      <c r="L12" s="4">
        <f>'Base de données indicateurs1'!L39</f>
        <v>5630325.2000000002</v>
      </c>
      <c r="M12" s="4">
        <f>'Base de données indicateurs1'!M39</f>
        <v>440551.95</v>
      </c>
      <c r="N12" s="4">
        <f>'Base de données indicateurs1'!N39</f>
        <v>0</v>
      </c>
      <c r="O12" s="4">
        <f>'Base de données indicateurs1'!O39</f>
        <v>648784.6</v>
      </c>
      <c r="P12" s="4">
        <f>'Base de données indicateurs1'!P39</f>
        <v>43209.25</v>
      </c>
      <c r="Q12" s="4">
        <f>'Base de données indicateurs1'!Q39</f>
        <v>-2994.7</v>
      </c>
      <c r="R12" s="4">
        <f>'Base de données indicateurs1'!R39</f>
        <v>11294.05</v>
      </c>
      <c r="S12" s="4">
        <f>'Base de données indicateurs1'!S39</f>
        <v>-4335.8</v>
      </c>
      <c r="T12" s="4">
        <f>'Base de données indicateurs1'!T39</f>
        <v>39931.449999999997</v>
      </c>
      <c r="U12" s="4">
        <f>'Base de données indicateurs1'!U39</f>
        <v>21951.7</v>
      </c>
      <c r="V12" s="4">
        <f>'Base de données indicateurs1'!V39</f>
        <v>91657.95</v>
      </c>
      <c r="W12" s="4">
        <f>'Base de données indicateurs1'!W39</f>
        <v>154646.65</v>
      </c>
      <c r="X12" s="4">
        <f>'Base de données indicateurs1'!X39</f>
        <v>5100</v>
      </c>
      <c r="Y12" s="4">
        <f>'Base de données indicateurs1'!Y39</f>
        <v>115383.25</v>
      </c>
      <c r="Z12" s="4">
        <f>'Base de données indicateurs1'!Z39</f>
        <v>6765508.1500000004</v>
      </c>
      <c r="AA12" s="4">
        <f>'Base de données indicateurs1'!AA39</f>
        <v>927</v>
      </c>
      <c r="AB12" s="4">
        <f>'Base de données indicateurs1'!AB39</f>
        <v>8935.7999999999993</v>
      </c>
      <c r="AC12" s="4">
        <f>'Base de données indicateurs1'!AC39</f>
        <v>-224747.75</v>
      </c>
      <c r="AD12" s="4">
        <f>'Base de données indicateurs1'!AD39</f>
        <v>70136.850000000006</v>
      </c>
      <c r="AE12" s="4">
        <f>'Base de données indicateurs1'!AE39</f>
        <v>33283.550000000003</v>
      </c>
      <c r="AF12" s="4">
        <f>'Base de données indicateurs1'!AF39</f>
        <v>728213.45</v>
      </c>
      <c r="AG12" s="4">
        <f>'Base de données indicateurs1'!AG39</f>
        <v>1712675.4</v>
      </c>
      <c r="AH12" s="4">
        <f>'Base de données indicateurs1'!AH39</f>
        <v>682151.5</v>
      </c>
      <c r="AI12" s="4">
        <f>'Base de données indicateurs1'!AI39</f>
        <v>7959</v>
      </c>
      <c r="AJ12" s="4">
        <f>'Base de données indicateurs1'!AJ39</f>
        <v>7036.8</v>
      </c>
      <c r="AK12" s="4">
        <f>'Base de données indicateurs1'!AK39</f>
        <v>543718.55000000005</v>
      </c>
      <c r="AL12" s="4">
        <f>'Base de données indicateurs1'!AL39</f>
        <v>-65142</v>
      </c>
      <c r="AM12" s="4">
        <f>'Base de données indicateurs1'!AM39</f>
        <v>44564.75</v>
      </c>
      <c r="AN12" s="4">
        <f>'Base de données indicateurs1'!AN39</f>
        <v>1227.2</v>
      </c>
      <c r="AO12" s="4">
        <f>'Base de données indicateurs1'!AO39</f>
        <v>2557137.35</v>
      </c>
      <c r="AP12" s="4">
        <f>'Base de données indicateurs1'!AP39</f>
        <v>504468</v>
      </c>
      <c r="AQ12" s="4">
        <f>'Base de données indicateurs1'!AQ39</f>
        <v>144303</v>
      </c>
      <c r="AR12" s="4">
        <f>'Base de données indicateurs1'!AR39</f>
        <v>234509.05</v>
      </c>
      <c r="AS12" s="4">
        <f>'Base de données indicateurs1'!AS39</f>
        <v>17997.349999999999</v>
      </c>
      <c r="AT12" s="4">
        <f>'Base de données indicateurs1'!AT39</f>
        <v>5799</v>
      </c>
      <c r="AU12" s="4">
        <f>'Base de données indicateurs1'!AU39</f>
        <v>-66532.05</v>
      </c>
      <c r="AV12" s="4">
        <f>'Base de données indicateurs1'!AV39</f>
        <v>121676.35</v>
      </c>
      <c r="AW12" s="4">
        <f>'Base de données indicateurs1'!AW39</f>
        <v>271631.65000000002</v>
      </c>
      <c r="AX12" s="4">
        <f>'Base de données indicateurs1'!AX39</f>
        <v>10577.2</v>
      </c>
      <c r="AY12" s="4">
        <f>'Base de données indicateurs1'!AY39</f>
        <v>20567.45</v>
      </c>
      <c r="AZ12" s="4">
        <f>'Base de données indicateurs1'!AZ39</f>
        <v>333389.45</v>
      </c>
      <c r="BA12" s="4">
        <f>'Base de données indicateurs1'!BA39</f>
        <v>13071.35</v>
      </c>
      <c r="BB12" s="4">
        <f>'Base de données indicateurs1'!BB39</f>
        <v>590684</v>
      </c>
      <c r="BC12" s="4">
        <f>'Base de données indicateurs1'!BC39</f>
        <v>1833.95</v>
      </c>
      <c r="BD12" s="4">
        <f>'Base de données indicateurs1'!BD39</f>
        <v>3114215.25</v>
      </c>
      <c r="BE12" s="4">
        <f>'Base de données indicateurs1'!BE39</f>
        <v>54685.45</v>
      </c>
      <c r="BF12" s="4">
        <f t="shared" si="0"/>
        <v>9416938.4499999974</v>
      </c>
      <c r="BG12" s="4">
        <f t="shared" si="1"/>
        <v>9912563</v>
      </c>
      <c r="BH12" s="4">
        <f t="shared" si="2"/>
        <v>8454382.3000000007</v>
      </c>
    </row>
    <row r="13" spans="1:60" x14ac:dyDescent="0.25">
      <c r="A13" s="114" t="s">
        <v>510</v>
      </c>
      <c r="B13" s="115" t="s">
        <v>511</v>
      </c>
      <c r="C13" s="122" t="s">
        <v>512</v>
      </c>
      <c r="D13" s="116">
        <f>'Base de données indicateurs1'!BF48+'Base de données indicateurs1'!BF26</f>
        <v>17377288</v>
      </c>
      <c r="E13" s="4">
        <f>'Base de données indicateurs1'!E48-'Base de données indicateurs1'!E26</f>
        <v>93242</v>
      </c>
      <c r="F13" s="4">
        <f>'Base de données indicateurs1'!F48-'Base de données indicateurs1'!F26</f>
        <v>211892</v>
      </c>
      <c r="G13" s="4">
        <f>'Base de données indicateurs1'!G48-'Base de données indicateurs1'!G26</f>
        <v>81088</v>
      </c>
      <c r="H13" s="4">
        <f>'Base de données indicateurs1'!H48-'Base de données indicateurs1'!H26</f>
        <v>159252</v>
      </c>
      <c r="I13" s="4">
        <f>'Base de données indicateurs1'!I48-'Base de données indicateurs1'!I26</f>
        <v>1174020</v>
      </c>
      <c r="J13" s="4">
        <f>'Base de données indicateurs1'!J48-'Base de données indicateurs1'!J26</f>
        <v>397118</v>
      </c>
      <c r="K13" s="4">
        <f>'Base de données indicateurs1'!K48-'Base de données indicateurs1'!K26</f>
        <v>-182436</v>
      </c>
      <c r="L13" s="4">
        <f>'Base de données indicateurs1'!L48-'Base de données indicateurs1'!L26</f>
        <v>-901898</v>
      </c>
      <c r="M13" s="4">
        <f>'Base de données indicateurs1'!M48-'Base de données indicateurs1'!M26</f>
        <v>0</v>
      </c>
      <c r="N13" s="4">
        <f>'Base de données indicateurs1'!N48-'Base de données indicateurs1'!N26</f>
        <v>0</v>
      </c>
      <c r="O13" s="4">
        <f>'Base de données indicateurs1'!O48-'Base de données indicateurs1'!O26</f>
        <v>1414183</v>
      </c>
      <c r="P13" s="4">
        <f>'Base de données indicateurs1'!P48-'Base de données indicateurs1'!P26</f>
        <v>283212</v>
      </c>
      <c r="Q13" s="4">
        <f>'Base de données indicateurs1'!Q48-'Base de données indicateurs1'!Q26</f>
        <v>28845</v>
      </c>
      <c r="R13" s="4">
        <f>'Base de données indicateurs1'!R48-'Base de données indicateurs1'!R26</f>
        <v>157798</v>
      </c>
      <c r="S13" s="4">
        <f>'Base de données indicateurs1'!S48-'Base de données indicateurs1'!S26</f>
        <v>175314</v>
      </c>
      <c r="T13" s="4">
        <f>'Base de données indicateurs1'!T48-'Base de données indicateurs1'!T26</f>
        <v>-41206</v>
      </c>
      <c r="U13" s="4">
        <f>'Base de données indicateurs1'!U48-'Base de données indicateurs1'!U26</f>
        <v>127902</v>
      </c>
      <c r="V13" s="4">
        <f>'Base de données indicateurs1'!V48-'Base de données indicateurs1'!V26</f>
        <v>0</v>
      </c>
      <c r="W13" s="4">
        <f>'Base de données indicateurs1'!W48-'Base de données indicateurs1'!W26</f>
        <v>1341516</v>
      </c>
      <c r="X13" s="4">
        <f>'Base de données indicateurs1'!X48-'Base de données indicateurs1'!X26</f>
        <v>31284</v>
      </c>
      <c r="Y13" s="4">
        <f>'Base de données indicateurs1'!Y48-'Base de données indicateurs1'!Y26</f>
        <v>74686</v>
      </c>
      <c r="Z13" s="4">
        <f>'Base de données indicateurs1'!Z48-'Base de données indicateurs1'!Z26</f>
        <v>-2509477</v>
      </c>
      <c r="AA13" s="4">
        <f>'Base de données indicateurs1'!AA48-'Base de données indicateurs1'!AA26</f>
        <v>83038</v>
      </c>
      <c r="AB13" s="4">
        <f>'Base de données indicateurs1'!AB48-'Base de données indicateurs1'!AB26</f>
        <v>61512</v>
      </c>
      <c r="AC13" s="4">
        <f>'Base de données indicateurs1'!AC48-'Base de données indicateurs1'!AC26</f>
        <v>-31717</v>
      </c>
      <c r="AD13" s="4">
        <f>'Base de données indicateurs1'!AD48-'Base de données indicateurs1'!AD26</f>
        <v>188290</v>
      </c>
      <c r="AE13" s="4">
        <f>'Base de données indicateurs1'!AE48-'Base de données indicateurs1'!AE26</f>
        <v>189290</v>
      </c>
      <c r="AF13" s="4">
        <f>'Base de données indicateurs1'!AF48-'Base de données indicateurs1'!AF26</f>
        <v>28448</v>
      </c>
      <c r="AG13" s="4">
        <f>'Base de données indicateurs1'!AG48-'Base de données indicateurs1'!AG26</f>
        <v>-375788</v>
      </c>
      <c r="AH13" s="4">
        <f>'Base de données indicateurs1'!AH48-'Base de données indicateurs1'!AH26</f>
        <v>96532</v>
      </c>
      <c r="AI13" s="4">
        <f>'Base de données indicateurs1'!AI48-'Base de données indicateurs1'!AI26</f>
        <v>218340</v>
      </c>
      <c r="AJ13" s="4">
        <f>'Base de données indicateurs1'!AJ48-'Base de données indicateurs1'!AJ26</f>
        <v>52532</v>
      </c>
      <c r="AK13" s="4">
        <f>'Base de données indicateurs1'!AK48-'Base de données indicateurs1'!AK26</f>
        <v>218212</v>
      </c>
      <c r="AL13" s="4">
        <f>'Base de données indicateurs1'!AL48-'Base de données indicateurs1'!AL26</f>
        <v>662458</v>
      </c>
      <c r="AM13" s="4">
        <f>'Base de données indicateurs1'!AM48-'Base de données indicateurs1'!AM26</f>
        <v>482860</v>
      </c>
      <c r="AN13" s="4">
        <f>'Base de données indicateurs1'!AN48-'Base de données indicateurs1'!AN26</f>
        <v>66682</v>
      </c>
      <c r="AO13" s="4">
        <f>'Base de données indicateurs1'!AO48-'Base de données indicateurs1'!AO26</f>
        <v>-1752363</v>
      </c>
      <c r="AP13" s="4">
        <f>'Base de données indicateurs1'!AP48-'Base de données indicateurs1'!AP26</f>
        <v>-5844</v>
      </c>
      <c r="AQ13" s="4">
        <f>'Base de données indicateurs1'!AQ48-'Base de données indicateurs1'!AQ26</f>
        <v>68586</v>
      </c>
      <c r="AR13" s="4">
        <f>'Base de données indicateurs1'!AR48-'Base de données indicateurs1'!AR26</f>
        <v>684808</v>
      </c>
      <c r="AS13" s="4">
        <f>'Base de données indicateurs1'!AS48-'Base de données indicateurs1'!AS26</f>
        <v>192432</v>
      </c>
      <c r="AT13" s="4">
        <f>'Base de données indicateurs1'!AT48-'Base de données indicateurs1'!AT26</f>
        <v>249338</v>
      </c>
      <c r="AU13" s="4">
        <f>'Base de données indicateurs1'!AU48-'Base de données indicateurs1'!AU26</f>
        <v>-115158</v>
      </c>
      <c r="AV13" s="4">
        <f>'Base de données indicateurs1'!AV48-'Base de données indicateurs1'!AV26</f>
        <v>-79015</v>
      </c>
      <c r="AW13" s="4">
        <f>'Base de données indicateurs1'!AW48-'Base de données indicateurs1'!AW26</f>
        <v>0</v>
      </c>
      <c r="AX13" s="4">
        <f>'Base de données indicateurs1'!AX48-'Base de données indicateurs1'!AX26</f>
        <v>140996</v>
      </c>
      <c r="AY13" s="4">
        <f>'Base de données indicateurs1'!AY48-'Base de données indicateurs1'!AY26</f>
        <v>276102</v>
      </c>
      <c r="AZ13" s="4">
        <f>'Base de données indicateurs1'!AZ48-'Base de données indicateurs1'!AZ26</f>
        <v>408224</v>
      </c>
      <c r="BA13" s="4">
        <f>'Base de données indicateurs1'!BA48-'Base de données indicateurs1'!BA26</f>
        <v>295366</v>
      </c>
      <c r="BB13" s="4">
        <f>'Base de données indicateurs1'!BB48-'Base de données indicateurs1'!BB26</f>
        <v>-52605</v>
      </c>
      <c r="BC13" s="4">
        <f>'Base de données indicateurs1'!BC48-'Base de données indicateurs1'!BC26</f>
        <v>92938</v>
      </c>
      <c r="BD13" s="4">
        <f>'Base de données indicateurs1'!BD48-'Base de données indicateurs1'!BD26</f>
        <v>-272347</v>
      </c>
      <c r="BE13" s="4">
        <f>'Base de données indicateurs1'!BE48-'Base de données indicateurs1'!BE26</f>
        <v>182616</v>
      </c>
      <c r="BF13" s="4">
        <f t="shared" si="0"/>
        <v>4519842</v>
      </c>
      <c r="BG13" s="4">
        <f t="shared" si="1"/>
        <v>-1893030</v>
      </c>
      <c r="BH13" s="4">
        <f t="shared" si="2"/>
        <v>1744286</v>
      </c>
    </row>
    <row r="14" spans="1:60" x14ac:dyDescent="0.25">
      <c r="A14" s="114" t="s">
        <v>513</v>
      </c>
      <c r="B14" s="115" t="s">
        <v>231</v>
      </c>
      <c r="C14" s="114">
        <v>46228</v>
      </c>
      <c r="D14" s="116">
        <f>'Base de données indicateurs1'!BF49</f>
        <v>1298912.3500000001</v>
      </c>
      <c r="E14" s="4">
        <f>'Base de données indicateurs1'!E49</f>
        <v>0</v>
      </c>
      <c r="F14" s="4">
        <f>'Base de données indicateurs1'!F49</f>
        <v>0</v>
      </c>
      <c r="G14" s="4">
        <f>'Base de données indicateurs1'!G49</f>
        <v>0</v>
      </c>
      <c r="H14" s="4">
        <f>'Base de données indicateurs1'!H49</f>
        <v>0</v>
      </c>
      <c r="I14" s="4">
        <f>'Base de données indicateurs1'!I49</f>
        <v>0</v>
      </c>
      <c r="J14" s="4">
        <f>'Base de données indicateurs1'!J49</f>
        <v>0</v>
      </c>
      <c r="K14" s="4">
        <f>'Base de données indicateurs1'!K49</f>
        <v>0</v>
      </c>
      <c r="L14" s="4">
        <f>'Base de données indicateurs1'!L49</f>
        <v>962414.35</v>
      </c>
      <c r="M14" s="4">
        <f>'Base de données indicateurs1'!M49</f>
        <v>0</v>
      </c>
      <c r="N14" s="4">
        <f>'Base de données indicateurs1'!N49</f>
        <v>0</v>
      </c>
      <c r="O14" s="4">
        <f>'Base de données indicateurs1'!O49</f>
        <v>0</v>
      </c>
      <c r="P14" s="4">
        <f>'Base de données indicateurs1'!P49</f>
        <v>0</v>
      </c>
      <c r="Q14" s="4">
        <f>'Base de données indicateurs1'!Q49</f>
        <v>0</v>
      </c>
      <c r="R14" s="4">
        <f>'Base de données indicateurs1'!R49</f>
        <v>0</v>
      </c>
      <c r="S14" s="4">
        <f>'Base de données indicateurs1'!S49</f>
        <v>0</v>
      </c>
      <c r="T14" s="4">
        <f>'Base de données indicateurs1'!T49</f>
        <v>0</v>
      </c>
      <c r="U14" s="4">
        <f>'Base de données indicateurs1'!U49</f>
        <v>4300</v>
      </c>
      <c r="V14" s="4">
        <f>'Base de données indicateurs1'!V49</f>
        <v>0</v>
      </c>
      <c r="W14" s="4">
        <f>'Base de données indicateurs1'!W49</f>
        <v>0</v>
      </c>
      <c r="X14" s="4">
        <f>'Base de données indicateurs1'!X49</f>
        <v>0</v>
      </c>
      <c r="Y14" s="4">
        <f>'Base de données indicateurs1'!Y49</f>
        <v>0</v>
      </c>
      <c r="Z14" s="4">
        <f>'Base de données indicateurs1'!Z49</f>
        <v>0</v>
      </c>
      <c r="AA14" s="4">
        <f>'Base de données indicateurs1'!AA49</f>
        <v>0</v>
      </c>
      <c r="AB14" s="4">
        <f>'Base de données indicateurs1'!AB49</f>
        <v>0</v>
      </c>
      <c r="AC14" s="4">
        <f>'Base de données indicateurs1'!AC49</f>
        <v>0</v>
      </c>
      <c r="AD14" s="4">
        <f>'Base de données indicateurs1'!AD49</f>
        <v>0</v>
      </c>
      <c r="AE14" s="4">
        <f>'Base de données indicateurs1'!AE49</f>
        <v>0</v>
      </c>
      <c r="AF14" s="4">
        <f>'Base de données indicateurs1'!AF49</f>
        <v>0</v>
      </c>
      <c r="AG14" s="4">
        <f>'Base de données indicateurs1'!AG49</f>
        <v>0</v>
      </c>
      <c r="AH14" s="4">
        <f>'Base de données indicateurs1'!AH49</f>
        <v>0</v>
      </c>
      <c r="AI14" s="4">
        <f>'Base de données indicateurs1'!AI49</f>
        <v>0</v>
      </c>
      <c r="AJ14" s="4">
        <f>'Base de données indicateurs1'!AJ49</f>
        <v>0</v>
      </c>
      <c r="AK14" s="4">
        <f>'Base de données indicateurs1'!AK49</f>
        <v>0</v>
      </c>
      <c r="AL14" s="4">
        <f>'Base de données indicateurs1'!AL49</f>
        <v>0</v>
      </c>
      <c r="AM14" s="4">
        <f>'Base de données indicateurs1'!AM49</f>
        <v>0</v>
      </c>
      <c r="AN14" s="4">
        <f>'Base de données indicateurs1'!AN49</f>
        <v>0</v>
      </c>
      <c r="AO14" s="4">
        <f>'Base de données indicateurs1'!AO49</f>
        <v>0</v>
      </c>
      <c r="AP14" s="4">
        <f>'Base de données indicateurs1'!AP49</f>
        <v>0</v>
      </c>
      <c r="AQ14" s="4">
        <f>'Base de données indicateurs1'!AQ49</f>
        <v>0</v>
      </c>
      <c r="AR14" s="4">
        <f>'Base de données indicateurs1'!AR49</f>
        <v>0</v>
      </c>
      <c r="AS14" s="4">
        <f>'Base de données indicateurs1'!AS49</f>
        <v>0</v>
      </c>
      <c r="AT14" s="4">
        <f>'Base de données indicateurs1'!AT49</f>
        <v>0</v>
      </c>
      <c r="AU14" s="4">
        <f>'Base de données indicateurs1'!AU49</f>
        <v>0</v>
      </c>
      <c r="AV14" s="4">
        <f>'Base de données indicateurs1'!AV49</f>
        <v>0</v>
      </c>
      <c r="AW14" s="4">
        <f>'Base de données indicateurs1'!AW49</f>
        <v>0</v>
      </c>
      <c r="AX14" s="4">
        <f>'Base de données indicateurs1'!AX49</f>
        <v>0</v>
      </c>
      <c r="AY14" s="4">
        <f>'Base de données indicateurs1'!AY49</f>
        <v>0</v>
      </c>
      <c r="AZ14" s="4">
        <f>'Base de données indicateurs1'!AZ49</f>
        <v>0</v>
      </c>
      <c r="BA14" s="4">
        <f>'Base de données indicateurs1'!BA49</f>
        <v>0</v>
      </c>
      <c r="BB14" s="4">
        <f>'Base de données indicateurs1'!BB49</f>
        <v>0</v>
      </c>
      <c r="BC14" s="4">
        <f>'Base de données indicateurs1'!BC49</f>
        <v>0</v>
      </c>
      <c r="BD14" s="4">
        <f>'Base de données indicateurs1'!BD49</f>
        <v>332198</v>
      </c>
      <c r="BE14" s="4">
        <f>'Base de données indicateurs1'!BE49</f>
        <v>0</v>
      </c>
      <c r="BF14" s="4">
        <f t="shared" si="0"/>
        <v>966714.35</v>
      </c>
      <c r="BG14" s="4">
        <f t="shared" si="1"/>
        <v>0</v>
      </c>
      <c r="BH14" s="4">
        <f t="shared" si="2"/>
        <v>332198</v>
      </c>
    </row>
    <row r="15" spans="1:60" ht="15.75" thickBot="1" x14ac:dyDescent="0.3">
      <c r="A15" s="117"/>
      <c r="B15" s="118"/>
      <c r="C15" s="117"/>
      <c r="D15" s="119"/>
      <c r="BF15" s="4"/>
      <c r="BG15" s="4"/>
      <c r="BH15" s="4"/>
    </row>
    <row r="16" spans="1:60" ht="15.75" thickBot="1" x14ac:dyDescent="0.3">
      <c r="A16" s="7" t="s">
        <v>514</v>
      </c>
      <c r="B16" s="64"/>
      <c r="C16" s="7"/>
      <c r="D16" s="120">
        <f>D11+D12+D13+D14</f>
        <v>211406984.43999997</v>
      </c>
      <c r="E16" s="4">
        <f>E11+E12+E13+E14</f>
        <v>2679156.35</v>
      </c>
      <c r="F16" s="4">
        <f t="shared" ref="F16:BE16" si="4">F11+F12+F13+F14</f>
        <v>761433.55</v>
      </c>
      <c r="G16" s="4">
        <f t="shared" si="4"/>
        <v>1109177.2</v>
      </c>
      <c r="H16" s="4">
        <f t="shared" si="4"/>
        <v>1118817.55</v>
      </c>
      <c r="I16" s="4">
        <f t="shared" si="4"/>
        <v>8082673</v>
      </c>
      <c r="J16" s="4">
        <f t="shared" si="4"/>
        <v>8968083.9499999993</v>
      </c>
      <c r="K16" s="4">
        <f t="shared" si="4"/>
        <v>6309847.4500000002</v>
      </c>
      <c r="L16" s="4">
        <f t="shared" si="4"/>
        <v>34244003.050000004</v>
      </c>
      <c r="M16" s="4">
        <f t="shared" si="4"/>
        <v>3189304.04</v>
      </c>
      <c r="N16" s="4">
        <f t="shared" si="4"/>
        <v>0</v>
      </c>
      <c r="O16" s="4">
        <f t="shared" si="4"/>
        <v>15819575.6</v>
      </c>
      <c r="P16" s="4">
        <f t="shared" si="4"/>
        <v>1337760.75</v>
      </c>
      <c r="Q16" s="4">
        <f t="shared" si="4"/>
        <v>206570.5</v>
      </c>
      <c r="R16" s="4">
        <f t="shared" si="4"/>
        <v>1023276.4</v>
      </c>
      <c r="S16" s="4">
        <f t="shared" si="4"/>
        <v>773740.7</v>
      </c>
      <c r="T16" s="4">
        <f t="shared" si="4"/>
        <v>1796029.05</v>
      </c>
      <c r="U16" s="4">
        <f t="shared" si="4"/>
        <v>648470.65</v>
      </c>
      <c r="V16" s="4">
        <f t="shared" si="4"/>
        <v>1249422.5999999999</v>
      </c>
      <c r="W16" s="4">
        <f t="shared" si="4"/>
        <v>8015454.4500000002</v>
      </c>
      <c r="X16" s="4">
        <f t="shared" si="4"/>
        <v>759022</v>
      </c>
      <c r="Y16" s="4">
        <f t="shared" si="4"/>
        <v>3508308.62</v>
      </c>
      <c r="Z16" s="4">
        <f t="shared" si="4"/>
        <v>7040802.8500000015</v>
      </c>
      <c r="AA16" s="4">
        <f t="shared" si="4"/>
        <v>250196</v>
      </c>
      <c r="AB16" s="4">
        <f t="shared" si="4"/>
        <v>317299.59999999998</v>
      </c>
      <c r="AC16" s="4">
        <f t="shared" si="4"/>
        <v>1091034.3500000001</v>
      </c>
      <c r="AD16" s="4">
        <f t="shared" si="4"/>
        <v>1422131.5</v>
      </c>
      <c r="AE16" s="4">
        <f t="shared" si="4"/>
        <v>1312098.05</v>
      </c>
      <c r="AF16" s="4">
        <f t="shared" si="4"/>
        <v>1736762.2</v>
      </c>
      <c r="AG16" s="4">
        <f t="shared" si="4"/>
        <v>5757562.6500000004</v>
      </c>
      <c r="AH16" s="4">
        <f t="shared" si="4"/>
        <v>6969940</v>
      </c>
      <c r="AI16" s="4">
        <f t="shared" si="4"/>
        <v>683290</v>
      </c>
      <c r="AJ16" s="4">
        <f t="shared" si="4"/>
        <v>303088.05</v>
      </c>
      <c r="AK16" s="4">
        <f t="shared" si="4"/>
        <v>5063974.8499999996</v>
      </c>
      <c r="AL16" s="4">
        <f t="shared" si="4"/>
        <v>2329580</v>
      </c>
      <c r="AM16" s="4">
        <f t="shared" si="4"/>
        <v>3025562.7</v>
      </c>
      <c r="AN16" s="4">
        <f t="shared" si="4"/>
        <v>329489.84999999998</v>
      </c>
      <c r="AO16" s="4">
        <f t="shared" si="4"/>
        <v>4632408.0999999996</v>
      </c>
      <c r="AP16" s="4">
        <f t="shared" si="4"/>
        <v>1812819.3</v>
      </c>
      <c r="AQ16" s="4">
        <f t="shared" si="4"/>
        <v>1746166</v>
      </c>
      <c r="AR16" s="4">
        <f t="shared" si="4"/>
        <v>3200257.4499999997</v>
      </c>
      <c r="AS16" s="4">
        <f t="shared" si="4"/>
        <v>1654606.9500000002</v>
      </c>
      <c r="AT16" s="4">
        <f t="shared" si="4"/>
        <v>2357594.75</v>
      </c>
      <c r="AU16" s="4">
        <f t="shared" si="4"/>
        <v>2024111.5</v>
      </c>
      <c r="AV16" s="4">
        <f t="shared" si="4"/>
        <v>5125075.43</v>
      </c>
      <c r="AW16" s="4">
        <f t="shared" si="4"/>
        <v>1935955.15</v>
      </c>
      <c r="AX16" s="4">
        <f t="shared" si="4"/>
        <v>487333.4</v>
      </c>
      <c r="AY16" s="4">
        <f t="shared" si="4"/>
        <v>1053328.7</v>
      </c>
      <c r="AZ16" s="4">
        <f t="shared" si="4"/>
        <v>4972694.55</v>
      </c>
      <c r="BA16" s="4">
        <f t="shared" si="4"/>
        <v>1115545.7</v>
      </c>
      <c r="BB16" s="4">
        <f t="shared" si="4"/>
        <v>3134407.95</v>
      </c>
      <c r="BC16" s="4">
        <f t="shared" si="4"/>
        <v>401054.25</v>
      </c>
      <c r="BD16" s="4">
        <f t="shared" si="4"/>
        <v>22203417.350000001</v>
      </c>
      <c r="BE16" s="4">
        <f t="shared" si="4"/>
        <v>1311077.8</v>
      </c>
      <c r="BF16" s="4">
        <f t="shared" si="0"/>
        <v>97332796.840000018</v>
      </c>
      <c r="BG16" s="4">
        <f t="shared" si="1"/>
        <v>31151535.870000001</v>
      </c>
      <c r="BH16" s="4">
        <f t="shared" si="2"/>
        <v>69916461.730000004</v>
      </c>
    </row>
    <row r="17" spans="1:60" ht="15.75" thickBot="1" x14ac:dyDescent="0.3">
      <c r="B17" s="121"/>
      <c r="D17" s="4"/>
      <c r="BF17" s="4"/>
      <c r="BG17" s="4"/>
      <c r="BH17" s="4"/>
    </row>
    <row r="18" spans="1:60" ht="15.75" thickBot="1" x14ac:dyDescent="0.3">
      <c r="A18" s="7" t="s">
        <v>515</v>
      </c>
      <c r="B18" s="121"/>
      <c r="D18" s="120">
        <f>IF(D16&lt;&gt;0,D9/D16,"")*100</f>
        <v>117.28111054929138</v>
      </c>
      <c r="E18" s="143">
        <f>IF(E16&lt;&gt;0,E9/E16,"")*100</f>
        <v>73.961428193617735</v>
      </c>
      <c r="F18" s="126">
        <f t="shared" ref="F18:BH18" si="5">IF(F16&lt;&gt;0,F9/F16,"")*100</f>
        <v>45.637606853546188</v>
      </c>
      <c r="G18" s="126">
        <f t="shared" si="5"/>
        <v>190.50927029513406</v>
      </c>
      <c r="H18" s="126">
        <f t="shared" si="5"/>
        <v>29.836936326213404</v>
      </c>
      <c r="I18" s="126">
        <f t="shared" si="5"/>
        <v>138.19892255940579</v>
      </c>
      <c r="J18" s="126">
        <f t="shared" si="5"/>
        <v>146.21275852351943</v>
      </c>
      <c r="K18" s="126">
        <f t="shared" si="5"/>
        <v>16.242072064674066</v>
      </c>
      <c r="L18" s="126">
        <f t="shared" si="5"/>
        <v>205.94207770344184</v>
      </c>
      <c r="M18" s="126">
        <f t="shared" si="5"/>
        <v>66.625944825254095</v>
      </c>
      <c r="N18" s="126" t="e">
        <f t="shared" si="5"/>
        <v>#VALUE!</v>
      </c>
      <c r="O18" s="126">
        <f t="shared" si="5"/>
        <v>136.50038563613555</v>
      </c>
      <c r="P18" s="126">
        <f t="shared" si="5"/>
        <v>102.20765484411167</v>
      </c>
      <c r="Q18" s="126">
        <f t="shared" si="5"/>
        <v>118.62027733872939</v>
      </c>
      <c r="R18" s="126">
        <f t="shared" si="5"/>
        <v>183.28367780200932</v>
      </c>
      <c r="S18" s="126">
        <f t="shared" si="5"/>
        <v>278.41725658221168</v>
      </c>
      <c r="T18" s="126">
        <f t="shared" si="5"/>
        <v>11.839593017718689</v>
      </c>
      <c r="U18" s="126">
        <f t="shared" si="5"/>
        <v>45.150418141514933</v>
      </c>
      <c r="V18" s="126">
        <f t="shared" si="5"/>
        <v>35.153173954112901</v>
      </c>
      <c r="W18" s="126">
        <f t="shared" si="5"/>
        <v>129.97675808637399</v>
      </c>
      <c r="X18" s="126">
        <f t="shared" si="5"/>
        <v>-142.35555754642158</v>
      </c>
      <c r="Y18" s="126">
        <f t="shared" si="5"/>
        <v>221.94677730489971</v>
      </c>
      <c r="Z18" s="126">
        <f t="shared" si="5"/>
        <v>-127.61722038559849</v>
      </c>
      <c r="AA18" s="126">
        <f t="shared" si="5"/>
        <v>54.353786631281075</v>
      </c>
      <c r="AB18" s="126">
        <f t="shared" si="5"/>
        <v>50.187349747683271</v>
      </c>
      <c r="AC18" s="126">
        <f t="shared" si="5"/>
        <v>23.987434492782</v>
      </c>
      <c r="AD18" s="126">
        <f t="shared" si="5"/>
        <v>464.32733048948006</v>
      </c>
      <c r="AE18" s="126">
        <f t="shared" si="5"/>
        <v>97.989706638158609</v>
      </c>
      <c r="AF18" s="126">
        <f t="shared" si="5"/>
        <v>-178.54850537396541</v>
      </c>
      <c r="AG18" s="126">
        <f t="shared" si="5"/>
        <v>-18.717430543287268</v>
      </c>
      <c r="AH18" s="126">
        <f t="shared" si="5"/>
        <v>146.15831700129414</v>
      </c>
      <c r="AI18" s="126">
        <f t="shared" si="5"/>
        <v>17.856693351285692</v>
      </c>
      <c r="AJ18" s="126">
        <f t="shared" si="5"/>
        <v>-373.17177302107427</v>
      </c>
      <c r="AK18" s="126">
        <f t="shared" si="5"/>
        <v>224.44528056848463</v>
      </c>
      <c r="AL18" s="126">
        <f t="shared" si="5"/>
        <v>-145.19222349092971</v>
      </c>
      <c r="AM18" s="126">
        <f t="shared" si="5"/>
        <v>226.3063313809362</v>
      </c>
      <c r="AN18" s="126">
        <f t="shared" si="5"/>
        <v>-157.18475698113309</v>
      </c>
      <c r="AO18" s="126">
        <f t="shared" si="5"/>
        <v>-82.961020424776464</v>
      </c>
      <c r="AP18" s="126">
        <f t="shared" si="5"/>
        <v>80.529192291807561</v>
      </c>
      <c r="AQ18" s="126">
        <f t="shared" si="5"/>
        <v>53.150845910411725</v>
      </c>
      <c r="AR18" s="126">
        <f t="shared" si="5"/>
        <v>-63.146519352685196</v>
      </c>
      <c r="AS18" s="126">
        <f t="shared" si="5"/>
        <v>189.73399634275683</v>
      </c>
      <c r="AT18" s="126">
        <f t="shared" si="5"/>
        <v>215.90250699362136</v>
      </c>
      <c r="AU18" s="126">
        <f t="shared" si="5"/>
        <v>-89.380650720081391</v>
      </c>
      <c r="AV18" s="126">
        <f t="shared" si="5"/>
        <v>191.22598377054521</v>
      </c>
      <c r="AW18" s="126">
        <f t="shared" si="5"/>
        <v>151.98209886215599</v>
      </c>
      <c r="AX18" s="126">
        <f t="shared" si="5"/>
        <v>62.237146068789869</v>
      </c>
      <c r="AY18" s="126">
        <f t="shared" si="5"/>
        <v>5.920731107013415</v>
      </c>
      <c r="AZ18" s="126">
        <f t="shared" si="5"/>
        <v>336.5294731404727</v>
      </c>
      <c r="BA18" s="126">
        <f t="shared" si="5"/>
        <v>-37.683695074078997</v>
      </c>
      <c r="BB18" s="126">
        <f t="shared" si="5"/>
        <v>201.93679064653983</v>
      </c>
      <c r="BC18" s="126">
        <f t="shared" si="5"/>
        <v>-142.26256422915355</v>
      </c>
      <c r="BD18" s="126">
        <f t="shared" si="5"/>
        <v>184.04026387406529</v>
      </c>
      <c r="BE18" s="126">
        <f t="shared" si="5"/>
        <v>163.41719843017705</v>
      </c>
      <c r="BF18" s="126">
        <f t="shared" si="5"/>
        <v>145.20272102354599</v>
      </c>
      <c r="BG18" s="126">
        <f t="shared" si="5"/>
        <v>35.845083069414649</v>
      </c>
      <c r="BH18" s="126">
        <f t="shared" si="5"/>
        <v>136.51190778014785</v>
      </c>
    </row>
    <row r="19" spans="1:60" x14ac:dyDescent="0.25">
      <c r="A19" s="123" t="s">
        <v>516</v>
      </c>
      <c r="B19" s="121"/>
      <c r="D19" s="4"/>
      <c r="BF19" s="4"/>
      <c r="BG19" s="4"/>
      <c r="BH19" s="4"/>
    </row>
    <row r="20" spans="1:60" x14ac:dyDescent="0.25">
      <c r="A20" s="123"/>
      <c r="B20" s="121"/>
      <c r="D20" s="4"/>
      <c r="BF20" s="4"/>
      <c r="BG20" s="4"/>
      <c r="BH20" s="4"/>
    </row>
    <row r="21" spans="1:60" x14ac:dyDescent="0.25">
      <c r="B21" s="121"/>
      <c r="D21" s="4"/>
      <c r="BF21" s="4"/>
      <c r="BG21" s="4"/>
      <c r="BH21" s="4"/>
    </row>
    <row r="22" spans="1:60" hidden="1" x14ac:dyDescent="0.25">
      <c r="A22" s="7" t="s">
        <v>517</v>
      </c>
      <c r="B22" s="121"/>
      <c r="D22" s="4"/>
      <c r="BF22" s="4"/>
      <c r="BG22" s="4"/>
      <c r="BH22" s="4"/>
    </row>
    <row r="23" spans="1:60" hidden="1" x14ac:dyDescent="0.25">
      <c r="B23" s="121"/>
      <c r="D23" s="4"/>
      <c r="BF23" s="4"/>
      <c r="BG23" s="4"/>
      <c r="BH23" s="4"/>
    </row>
    <row r="24" spans="1:60" hidden="1" x14ac:dyDescent="0.25">
      <c r="A24" s="111" t="s">
        <v>518</v>
      </c>
      <c r="B24" s="112"/>
      <c r="C24" s="124">
        <v>90</v>
      </c>
      <c r="D24" s="210">
        <f>'Base de données indicateurs1'!BF33-'Base de données indicateurs1'!BF33+'Base de données indicateurs1'!BF54-'Base de données indicateurs1'!BF55</f>
        <v>2549034.7099999995</v>
      </c>
      <c r="E24" s="145">
        <f>'Base de données indicateurs1'!E33-'Base de données indicateurs1'!E33+'Base de données indicateurs1'!E54-'Base de données indicateurs1'!E55</f>
        <v>6015.15</v>
      </c>
      <c r="F24" s="145">
        <f>'Base de données indicateurs1'!F33-'Base de données indicateurs1'!F33+'Base de données indicateurs1'!F54-'Base de données indicateurs1'!F55</f>
        <v>149441.67000000001</v>
      </c>
      <c r="G24" s="145">
        <f>'Base de données indicateurs1'!G33-'Base de données indicateurs1'!G33+'Base de données indicateurs1'!G54-'Base de données indicateurs1'!G55</f>
        <v>-35747.06</v>
      </c>
      <c r="H24" s="145">
        <f>'Base de données indicateurs1'!H33-'Base de données indicateurs1'!H33+'Base de données indicateurs1'!H54-'Base de données indicateurs1'!H55</f>
        <v>21653.66</v>
      </c>
      <c r="I24" s="145">
        <f>'Base de données indicateurs1'!I33-'Base de données indicateurs1'!I33+'Base de données indicateurs1'!I54-'Base de données indicateurs1'!I55</f>
        <v>-197032.69</v>
      </c>
      <c r="J24" s="145">
        <f>'Base de données indicateurs1'!J33-'Base de données indicateurs1'!J33+'Base de données indicateurs1'!J54-'Base de données indicateurs1'!J55</f>
        <v>643336.21</v>
      </c>
      <c r="K24" s="145">
        <f>'Base de données indicateurs1'!K33-'Base de données indicateurs1'!K33+'Base de données indicateurs1'!K54-'Base de données indicateurs1'!K55</f>
        <v>33519.97</v>
      </c>
      <c r="L24" s="145">
        <f>'Base de données indicateurs1'!L33-'Base de données indicateurs1'!L33+'Base de données indicateurs1'!L54-'Base de données indicateurs1'!L55</f>
        <v>-574635</v>
      </c>
      <c r="M24" s="145">
        <f>'Base de données indicateurs1'!M33-'Base de données indicateurs1'!M33+'Base de données indicateurs1'!M54-'Base de données indicateurs1'!M55</f>
        <v>-144001.48000000001</v>
      </c>
      <c r="N24" s="145">
        <f>'Base de données indicateurs1'!N33-'Base de données indicateurs1'!N33+'Base de données indicateurs1'!N54-'Base de données indicateurs1'!N55</f>
        <v>0</v>
      </c>
      <c r="O24" s="145">
        <f>'Base de données indicateurs1'!O33-'Base de données indicateurs1'!O33+'Base de données indicateurs1'!O54-'Base de données indicateurs1'!O55</f>
        <v>-1449255.52</v>
      </c>
      <c r="P24" s="145">
        <f>'Base de données indicateurs1'!P33-'Base de données indicateurs1'!P33+'Base de données indicateurs1'!P54-'Base de données indicateurs1'!P55</f>
        <v>-93731.8</v>
      </c>
      <c r="Q24" s="145">
        <f>'Base de données indicateurs1'!Q33-'Base de données indicateurs1'!Q33+'Base de données indicateurs1'!Q54-'Base de données indicateurs1'!Q55</f>
        <v>-28876.52</v>
      </c>
      <c r="R24" s="145">
        <f>'Base de données indicateurs1'!R33-'Base de données indicateurs1'!R33+'Base de données indicateurs1'!R54-'Base de données indicateurs1'!R55</f>
        <v>-16853.580000000002</v>
      </c>
      <c r="S24" s="145">
        <f>'Base de données indicateurs1'!S33-'Base de données indicateurs1'!S33+'Base de données indicateurs1'!S54-'Base de données indicateurs1'!S55</f>
        <v>-13071.37</v>
      </c>
      <c r="T24" s="145">
        <f>'Base de données indicateurs1'!T33-'Base de données indicateurs1'!T33+'Base de données indicateurs1'!T54-'Base de données indicateurs1'!T55</f>
        <v>81234.89</v>
      </c>
      <c r="U24" s="145">
        <f>'Base de données indicateurs1'!U33-'Base de données indicateurs1'!U33+'Base de données indicateurs1'!U54-'Base de données indicateurs1'!U55</f>
        <v>-1983</v>
      </c>
      <c r="V24" s="145">
        <f>'Base de données indicateurs1'!V33-'Base de données indicateurs1'!V33+'Base de données indicateurs1'!V54-'Base de données indicateurs1'!V55</f>
        <v>-152377.16</v>
      </c>
      <c r="W24" s="145">
        <f>'Base de données indicateurs1'!W33-'Base de données indicateurs1'!W33+'Base de données indicateurs1'!W54-'Base de données indicateurs1'!W55</f>
        <v>8997.4500000000007</v>
      </c>
      <c r="X24" s="145">
        <f>'Base de données indicateurs1'!X33-'Base de données indicateurs1'!X33+'Base de données indicateurs1'!X54-'Base de données indicateurs1'!X55</f>
        <v>26286</v>
      </c>
      <c r="Y24" s="145">
        <f>'Base de données indicateurs1'!Y33-'Base de données indicateurs1'!Y33+'Base de données indicateurs1'!Y54-'Base de données indicateurs1'!Y55</f>
        <v>94732.18</v>
      </c>
      <c r="Z24" s="145">
        <f>'Base de données indicateurs1'!Z33-'Base de données indicateurs1'!Z33+'Base de données indicateurs1'!Z54-'Base de données indicateurs1'!Z55</f>
        <v>3333844.9</v>
      </c>
      <c r="AA24" s="145">
        <f>'Base de données indicateurs1'!AA33-'Base de données indicateurs1'!AA33+'Base de données indicateurs1'!AA54-'Base de données indicateurs1'!AA55</f>
        <v>-2729.75</v>
      </c>
      <c r="AB24" s="145">
        <f>'Base de données indicateurs1'!AB33-'Base de données indicateurs1'!AB33+'Base de données indicateurs1'!AB54-'Base de données indicateurs1'!AB55</f>
        <v>-8071.54</v>
      </c>
      <c r="AC24" s="145">
        <f>'Base de données indicateurs1'!AC33-'Base de données indicateurs1'!AC33+'Base de données indicateurs1'!AC54-'Base de données indicateurs1'!AC55</f>
        <v>-115009</v>
      </c>
      <c r="AD24" s="145">
        <f>'Base de données indicateurs1'!AD33-'Base de données indicateurs1'!AD33+'Base de données indicateurs1'!AD54-'Base de données indicateurs1'!AD55</f>
        <v>-169604.71</v>
      </c>
      <c r="AE24" s="145">
        <f>'Base de données indicateurs1'!AE33-'Base de données indicateurs1'!AE33+'Base de données indicateurs1'!AE54-'Base de données indicateurs1'!AE55</f>
        <v>-167058.57</v>
      </c>
      <c r="AF24" s="145">
        <f>'Base de données indicateurs1'!AF33-'Base de données indicateurs1'!AF33+'Base de données indicateurs1'!AF54-'Base de données indicateurs1'!AF55</f>
        <v>27072.7</v>
      </c>
      <c r="AG24" s="145">
        <f>'Base de données indicateurs1'!AG33-'Base de données indicateurs1'!AG33+'Base de données indicateurs1'!AG54-'Base de données indicateurs1'!AG55</f>
        <v>902636.72</v>
      </c>
      <c r="AH24" s="145">
        <f>'Base de données indicateurs1'!AH33-'Base de données indicateurs1'!AH33+'Base de données indicateurs1'!AH54-'Base de données indicateurs1'!AH55</f>
        <v>21605</v>
      </c>
      <c r="AI24" s="145">
        <f>'Base de données indicateurs1'!AI33-'Base de données indicateurs1'!AI33+'Base de données indicateurs1'!AI54-'Base de données indicateurs1'!AI55</f>
        <v>2281</v>
      </c>
      <c r="AJ24" s="145">
        <f>'Base de données indicateurs1'!AJ33-'Base de données indicateurs1'!AJ33+'Base de données indicateurs1'!AJ54-'Base de données indicateurs1'!AJ55</f>
        <v>-28280.9</v>
      </c>
      <c r="AK24" s="145">
        <f>'Base de données indicateurs1'!AK33-'Base de données indicateurs1'!AK33+'Base de données indicateurs1'!AK54-'Base de données indicateurs1'!AK55</f>
        <v>92720</v>
      </c>
      <c r="AL24" s="145">
        <f>'Base de données indicateurs1'!AL33-'Base de données indicateurs1'!AL33+'Base de données indicateurs1'!AL54-'Base de données indicateurs1'!AL55</f>
        <v>-32824</v>
      </c>
      <c r="AM24" s="145">
        <f>'Base de données indicateurs1'!AM33-'Base de données indicateurs1'!AM33+'Base de données indicateurs1'!AM54-'Base de données indicateurs1'!AM55</f>
        <v>-97730</v>
      </c>
      <c r="AN24" s="145">
        <f>'Base de données indicateurs1'!AN33-'Base de données indicateurs1'!AN33+'Base de données indicateurs1'!AN54-'Base de données indicateurs1'!AN55</f>
        <v>14511.05</v>
      </c>
      <c r="AO24" s="145">
        <f>'Base de données indicateurs1'!AO33-'Base de données indicateurs1'!AO33+'Base de données indicateurs1'!AO54-'Base de données indicateurs1'!AO55</f>
        <v>313035.14</v>
      </c>
      <c r="AP24" s="145">
        <f>'Base de données indicateurs1'!AP33-'Base de données indicateurs1'!AP33+'Base de données indicateurs1'!AP54-'Base de données indicateurs1'!AP55</f>
        <v>197653.74</v>
      </c>
      <c r="AQ24" s="145">
        <f>'Base de données indicateurs1'!AQ33-'Base de données indicateurs1'!AQ33+'Base de données indicateurs1'!AQ54-'Base de données indicateurs1'!AQ55</f>
        <v>39059</v>
      </c>
      <c r="AR24" s="145">
        <f>'Base de données indicateurs1'!AR33-'Base de données indicateurs1'!AR33+'Base de données indicateurs1'!AR54-'Base de données indicateurs1'!AR55</f>
        <v>50671.79</v>
      </c>
      <c r="AS24" s="145">
        <f>'Base de données indicateurs1'!AS33-'Base de données indicateurs1'!AS33+'Base de données indicateurs1'!AS54-'Base de données indicateurs1'!AS55</f>
        <v>8666</v>
      </c>
      <c r="AT24" s="145">
        <f>'Base de données indicateurs1'!AT33-'Base de données indicateurs1'!AT33+'Base de données indicateurs1'!AT54-'Base de données indicateurs1'!AT55</f>
        <v>-30052.95</v>
      </c>
      <c r="AU24" s="145">
        <f>'Base de données indicateurs1'!AU33-'Base de données indicateurs1'!AU33+'Base de données indicateurs1'!AU54-'Base de données indicateurs1'!AU55</f>
        <v>81088.7</v>
      </c>
      <c r="AV24" s="145">
        <f>'Base de données indicateurs1'!AV33-'Base de données indicateurs1'!AV33+'Base de données indicateurs1'!AV54-'Base de données indicateurs1'!AV55</f>
        <v>-430556.03</v>
      </c>
      <c r="AW24" s="145">
        <f>'Base de données indicateurs1'!AW33-'Base de données indicateurs1'!AW33+'Base de données indicateurs1'!AW54-'Base de données indicateurs1'!AW55</f>
        <v>-41819.89</v>
      </c>
      <c r="AX24" s="145">
        <f>'Base de données indicateurs1'!AX33-'Base de données indicateurs1'!AX33+'Base de données indicateurs1'!AX54-'Base de données indicateurs1'!AX55</f>
        <v>10076.969999999999</v>
      </c>
      <c r="AY24" s="145">
        <f>'Base de données indicateurs1'!AY33-'Base de données indicateurs1'!AY33+'Base de données indicateurs1'!AY54-'Base de données indicateurs1'!AY55</f>
        <v>26132.85</v>
      </c>
      <c r="AZ24" s="145">
        <f>'Base de données indicateurs1'!AZ33-'Base de données indicateurs1'!AZ33+'Base de données indicateurs1'!AZ54-'Base de données indicateurs1'!AZ55</f>
        <v>79042.83</v>
      </c>
      <c r="BA24" s="145">
        <f>'Base de données indicateurs1'!BA33-'Base de données indicateurs1'!BA33+'Base de données indicateurs1'!BA54-'Base de données indicateurs1'!BA55</f>
        <v>24133.4</v>
      </c>
      <c r="BB24" s="145">
        <f>'Base de données indicateurs1'!BB33-'Base de données indicateurs1'!BB33+'Base de données indicateurs1'!BB54-'Base de données indicateurs1'!BB55</f>
        <v>-104585.94</v>
      </c>
      <c r="BC24" s="145">
        <f>'Base de données indicateurs1'!BC33-'Base de données indicateurs1'!BC33+'Base de données indicateurs1'!BC54-'Base de données indicateurs1'!BC55</f>
        <v>-2276.58</v>
      </c>
      <c r="BD24" s="145">
        <f>'Base de données indicateurs1'!BD33-'Base de données indicateurs1'!BD33+'Base de données indicateurs1'!BD54-'Base de données indicateurs1'!BD55</f>
        <v>189954.45</v>
      </c>
      <c r="BE24" s="145">
        <f>'Base de données indicateurs1'!BE33-'Base de données indicateurs1'!BE33+'Base de données indicateurs1'!BE54-'Base de données indicateurs1'!BE55</f>
        <v>7796.33</v>
      </c>
      <c r="BF24" s="4">
        <f t="shared" si="0"/>
        <v>-1763366.1800000004</v>
      </c>
      <c r="BG24" s="4">
        <f t="shared" si="1"/>
        <v>3917704.0300000007</v>
      </c>
      <c r="BH24" s="4">
        <f t="shared" si="2"/>
        <v>394696.86000000004</v>
      </c>
    </row>
    <row r="25" spans="1:60" hidden="1" x14ac:dyDescent="0.25">
      <c r="A25" s="114" t="s">
        <v>98</v>
      </c>
      <c r="B25" s="115" t="s">
        <v>231</v>
      </c>
      <c r="C25" s="114">
        <v>33</v>
      </c>
      <c r="D25" s="116">
        <f>'Base de données indicateurs1'!BF20</f>
        <v>17465661.400000006</v>
      </c>
      <c r="E25" s="4">
        <f>'Base de données indicateurs1'!E20</f>
        <v>487774.58</v>
      </c>
      <c r="F25" s="4">
        <f>'Base de données indicateurs1'!F20</f>
        <v>50349</v>
      </c>
      <c r="G25" s="4">
        <f>'Base de données indicateurs1'!G20</f>
        <v>26490.3</v>
      </c>
      <c r="H25" s="4">
        <f>'Base de données indicateurs1'!H20</f>
        <v>93840</v>
      </c>
      <c r="I25" s="4">
        <f>'Base de données indicateurs1'!I20</f>
        <v>497197</v>
      </c>
      <c r="J25" s="4">
        <f>'Base de données indicateurs1'!J20</f>
        <v>834227.87</v>
      </c>
      <c r="K25" s="4">
        <f>'Base de données indicateurs1'!K20</f>
        <v>436693.95</v>
      </c>
      <c r="L25" s="4">
        <f>'Base de données indicateurs1'!L20</f>
        <v>3184573.05</v>
      </c>
      <c r="M25" s="4">
        <f>'Base de données indicateurs1'!M20</f>
        <v>192920</v>
      </c>
      <c r="N25" s="4">
        <f>'Base de données indicateurs1'!N20</f>
        <v>0</v>
      </c>
      <c r="O25" s="4">
        <f>'Base de données indicateurs1'!O20</f>
        <v>1048101.7</v>
      </c>
      <c r="P25" s="4">
        <f>'Base de données indicateurs1'!P20</f>
        <v>137078</v>
      </c>
      <c r="Q25" s="4">
        <f>'Base de données indicateurs1'!Q20</f>
        <v>12845</v>
      </c>
      <c r="R25" s="4">
        <f>'Base de données indicateurs1'!R20</f>
        <v>81200</v>
      </c>
      <c r="S25" s="4">
        <f>'Base de données indicateurs1'!S20</f>
        <v>67550</v>
      </c>
      <c r="T25" s="4">
        <f>'Base de données indicateurs1'!T20</f>
        <v>102560</v>
      </c>
      <c r="U25" s="4">
        <f>'Base de données indicateurs1'!U20</f>
        <v>21086</v>
      </c>
      <c r="V25" s="4">
        <f>'Base de données indicateurs1'!V20</f>
        <v>149609.54999999999</v>
      </c>
      <c r="W25" s="4">
        <f>'Base de données indicateurs1'!W20</f>
        <v>849975.67</v>
      </c>
      <c r="X25" s="4">
        <f>'Base de données indicateurs1'!X20</f>
        <v>51671</v>
      </c>
      <c r="Y25" s="4">
        <f>'Base de données indicateurs1'!Y20</f>
        <v>216817</v>
      </c>
      <c r="Z25" s="4">
        <f>'Base de données indicateurs1'!Z20</f>
        <v>268500</v>
      </c>
      <c r="AA25" s="4">
        <f>'Base de données indicateurs1'!AA20</f>
        <v>40237</v>
      </c>
      <c r="AB25" s="4">
        <f>'Base de données indicateurs1'!AB20</f>
        <v>700</v>
      </c>
      <c r="AC25" s="4">
        <f>'Base de données indicateurs1'!AC20</f>
        <v>59546.8</v>
      </c>
      <c r="AD25" s="4">
        <f>'Base de données indicateurs1'!AD20</f>
        <v>118375</v>
      </c>
      <c r="AE25" s="4">
        <f>'Base de données indicateurs1'!AE20</f>
        <v>112900</v>
      </c>
      <c r="AF25" s="4">
        <f>'Base de données indicateurs1'!AF20</f>
        <v>46101.55</v>
      </c>
      <c r="AG25" s="4">
        <f>'Base de données indicateurs1'!AG20</f>
        <v>439539</v>
      </c>
      <c r="AH25" s="4">
        <f>'Base de données indicateurs1'!AH20</f>
        <v>966285</v>
      </c>
      <c r="AI25" s="4">
        <f>'Base de données indicateurs1'!AI20</f>
        <v>47194</v>
      </c>
      <c r="AJ25" s="4">
        <f>'Base de données indicateurs1'!AJ20</f>
        <v>4720</v>
      </c>
      <c r="AK25" s="4">
        <f>'Base de données indicateurs1'!AK20</f>
        <v>0</v>
      </c>
      <c r="AL25" s="4">
        <f>'Base de données indicateurs1'!AL20</f>
        <v>236997</v>
      </c>
      <c r="AM25" s="4">
        <f>'Base de données indicateurs1'!AM20</f>
        <v>172530</v>
      </c>
      <c r="AN25" s="4">
        <f>'Base de données indicateurs1'!AN20</f>
        <v>18600</v>
      </c>
      <c r="AO25" s="4">
        <f>'Base de données indicateurs1'!AO20</f>
        <v>371459</v>
      </c>
      <c r="AP25" s="4">
        <f>'Base de données indicateurs1'!AP20</f>
        <v>54350</v>
      </c>
      <c r="AQ25" s="4">
        <f>'Base de données indicateurs1'!AQ20</f>
        <v>151720</v>
      </c>
      <c r="AR25" s="4">
        <f>'Base de données indicateurs1'!AR20</f>
        <v>509414.85</v>
      </c>
      <c r="AS25" s="4">
        <f>'Base de données indicateurs1'!AS20</f>
        <v>99234.8</v>
      </c>
      <c r="AT25" s="4">
        <f>'Base de données indicateurs1'!AT20</f>
        <v>150006.67000000001</v>
      </c>
      <c r="AU25" s="4">
        <f>'Base de données indicateurs1'!AU20</f>
        <v>432093.9</v>
      </c>
      <c r="AV25" s="4">
        <f>'Base de données indicateurs1'!AV20</f>
        <v>337553.91</v>
      </c>
      <c r="AW25" s="4">
        <f>'Base de données indicateurs1'!AW20</f>
        <v>70004.160000000003</v>
      </c>
      <c r="AX25" s="4">
        <f>'Base de données indicateurs1'!AX20</f>
        <v>11750</v>
      </c>
      <c r="AY25" s="4">
        <f>'Base de données indicateurs1'!AY20</f>
        <v>141500</v>
      </c>
      <c r="AZ25" s="4">
        <f>'Base de données indicateurs1'!AZ20</f>
        <v>451323.05</v>
      </c>
      <c r="BA25" s="4">
        <f>'Base de données indicateurs1'!BA20</f>
        <v>29040</v>
      </c>
      <c r="BB25" s="4">
        <f>'Base de données indicateurs1'!BB20</f>
        <v>381409.63</v>
      </c>
      <c r="BC25" s="4">
        <f>'Base de données indicateurs1'!BC20</f>
        <v>12476</v>
      </c>
      <c r="BD25" s="4">
        <f>'Base de données indicateurs1'!BD20</f>
        <v>3089940.09</v>
      </c>
      <c r="BE25" s="4">
        <f>'Base de données indicateurs1'!BE20</f>
        <v>97600.320000000007</v>
      </c>
      <c r="BF25" s="4">
        <f t="shared" si="0"/>
        <v>8274071.6699999999</v>
      </c>
      <c r="BG25" s="4">
        <f t="shared" si="1"/>
        <v>2372586.35</v>
      </c>
      <c r="BH25" s="4">
        <f t="shared" si="2"/>
        <v>6819003.3800000008</v>
      </c>
    </row>
    <row r="26" spans="1:60" hidden="1" x14ac:dyDescent="0.25">
      <c r="A26" s="114" t="s">
        <v>233</v>
      </c>
      <c r="B26" s="115" t="s">
        <v>231</v>
      </c>
      <c r="C26" s="114">
        <v>35</v>
      </c>
      <c r="D26" s="116">
        <f>'Base de données indicateurs1'!BF24</f>
        <v>797548.13</v>
      </c>
      <c r="E26" s="4">
        <f>'Base de données indicateurs1'!E24</f>
        <v>21282.55</v>
      </c>
      <c r="F26" s="4">
        <f>'Base de données indicateurs1'!F24</f>
        <v>5654.61</v>
      </c>
      <c r="G26" s="4">
        <f>'Base de données indicateurs1'!G24</f>
        <v>0</v>
      </c>
      <c r="H26" s="4">
        <f>'Base de données indicateurs1'!H24</f>
        <v>94934.75</v>
      </c>
      <c r="I26" s="4">
        <f>'Base de données indicateurs1'!I24</f>
        <v>0</v>
      </c>
      <c r="J26" s="4">
        <f>'Base de données indicateurs1'!J24</f>
        <v>8283.7999999999993</v>
      </c>
      <c r="K26" s="4">
        <f>'Base de données indicateurs1'!K24</f>
        <v>42325.02</v>
      </c>
      <c r="L26" s="4">
        <f>'Base de données indicateurs1'!L24</f>
        <v>0</v>
      </c>
      <c r="M26" s="4">
        <f>'Base de données indicateurs1'!M24</f>
        <v>0</v>
      </c>
      <c r="N26" s="4">
        <f>'Base de données indicateurs1'!N24</f>
        <v>0</v>
      </c>
      <c r="O26" s="4">
        <f>'Base de données indicateurs1'!O24</f>
        <v>0</v>
      </c>
      <c r="P26" s="4">
        <f>'Base de données indicateurs1'!P24</f>
        <v>43166.75</v>
      </c>
      <c r="Q26" s="4">
        <f>'Base de données indicateurs1'!Q24</f>
        <v>0</v>
      </c>
      <c r="R26" s="4">
        <f>'Base de données indicateurs1'!R24</f>
        <v>125</v>
      </c>
      <c r="S26" s="4">
        <f>'Base de données indicateurs1'!S24</f>
        <v>0</v>
      </c>
      <c r="T26" s="4">
        <f>'Base de données indicateurs1'!T24</f>
        <v>0</v>
      </c>
      <c r="U26" s="4">
        <f>'Base de données indicateurs1'!U24</f>
        <v>4815</v>
      </c>
      <c r="V26" s="4">
        <f>'Base de données indicateurs1'!V24</f>
        <v>0</v>
      </c>
      <c r="W26" s="4">
        <f>'Base de données indicateurs1'!W24</f>
        <v>0</v>
      </c>
      <c r="X26" s="4">
        <f>'Base de données indicateurs1'!X24</f>
        <v>44370</v>
      </c>
      <c r="Y26" s="4">
        <f>'Base de données indicateurs1'!Y24</f>
        <v>304.89999999999998</v>
      </c>
      <c r="Z26" s="4">
        <f>'Base de données indicateurs1'!Z24</f>
        <v>14938.12</v>
      </c>
      <c r="AA26" s="4">
        <f>'Base de données indicateurs1'!AA24</f>
        <v>7247</v>
      </c>
      <c r="AB26" s="4">
        <f>'Base de données indicateurs1'!AB24</f>
        <v>0</v>
      </c>
      <c r="AC26" s="4">
        <f>'Base de données indicateurs1'!AC24</f>
        <v>978.98</v>
      </c>
      <c r="AD26" s="4">
        <f>'Base de données indicateurs1'!AD24</f>
        <v>4605.6499999999996</v>
      </c>
      <c r="AE26" s="4">
        <f>'Base de données indicateurs1'!AE24</f>
        <v>6363.23</v>
      </c>
      <c r="AF26" s="4">
        <f>'Base de données indicateurs1'!AF24</f>
        <v>88954</v>
      </c>
      <c r="AG26" s="4">
        <f>'Base de données indicateurs1'!AG24</f>
        <v>0</v>
      </c>
      <c r="AH26" s="4">
        <f>'Base de données indicateurs1'!AH24</f>
        <v>35175</v>
      </c>
      <c r="AI26" s="4">
        <f>'Base de données indicateurs1'!AI24</f>
        <v>10405</v>
      </c>
      <c r="AJ26" s="4">
        <f>'Base de données indicateurs1'!AJ24</f>
        <v>3000</v>
      </c>
      <c r="AK26" s="4">
        <f>'Base de données indicateurs1'!AK24</f>
        <v>5000</v>
      </c>
      <c r="AL26" s="4">
        <f>'Base de données indicateurs1'!AL24</f>
        <v>0</v>
      </c>
      <c r="AM26" s="4">
        <f>'Base de données indicateurs1'!AM24</f>
        <v>0</v>
      </c>
      <c r="AN26" s="4">
        <f>'Base de données indicateurs1'!AN24</f>
        <v>668.62</v>
      </c>
      <c r="AO26" s="4">
        <f>'Base de données indicateurs1'!AO24</f>
        <v>747.6</v>
      </c>
      <c r="AP26" s="4">
        <f>'Base de données indicateurs1'!AP24</f>
        <v>0</v>
      </c>
      <c r="AQ26" s="4">
        <f>'Base de données indicateurs1'!AQ24</f>
        <v>12042</v>
      </c>
      <c r="AR26" s="4">
        <f>'Base de données indicateurs1'!AR24</f>
        <v>88595.55</v>
      </c>
      <c r="AS26" s="4">
        <f>'Base de données indicateurs1'!AS24</f>
        <v>91611.82</v>
      </c>
      <c r="AT26" s="4">
        <f>'Base de données indicateurs1'!AT24</f>
        <v>1674.66</v>
      </c>
      <c r="AU26" s="4">
        <f>'Base de données indicateurs1'!AU24</f>
        <v>86982.5</v>
      </c>
      <c r="AV26" s="4">
        <f>'Base de données indicateurs1'!AV24</f>
        <v>357.23</v>
      </c>
      <c r="AW26" s="4">
        <f>'Base de données indicateurs1'!AW24</f>
        <v>15048</v>
      </c>
      <c r="AX26" s="4">
        <f>'Base de données indicateurs1'!AX24</f>
        <v>117.04</v>
      </c>
      <c r="AY26" s="4">
        <f>'Base de données indicateurs1'!AY24</f>
        <v>0</v>
      </c>
      <c r="AZ26" s="4">
        <f>'Base de données indicateurs1'!AZ24</f>
        <v>0</v>
      </c>
      <c r="BA26" s="4">
        <f>'Base de données indicateurs1'!BA24</f>
        <v>0</v>
      </c>
      <c r="BB26" s="4">
        <f>'Base de données indicateurs1'!BB24</f>
        <v>38678.46</v>
      </c>
      <c r="BC26" s="4">
        <f>'Base de données indicateurs1'!BC24</f>
        <v>0</v>
      </c>
      <c r="BD26" s="4">
        <f>'Base de données indicateurs1'!BD24</f>
        <v>6315</v>
      </c>
      <c r="BE26" s="4">
        <f>'Base de données indicateurs1'!BE24</f>
        <v>12780.29</v>
      </c>
      <c r="BF26" s="4">
        <f t="shared" si="0"/>
        <v>220587.48</v>
      </c>
      <c r="BG26" s="4">
        <f t="shared" si="1"/>
        <v>216341.88</v>
      </c>
      <c r="BH26" s="4">
        <f t="shared" si="2"/>
        <v>360618.76999999996</v>
      </c>
    </row>
    <row r="27" spans="1:60" hidden="1" x14ac:dyDescent="0.25">
      <c r="A27" s="114" t="s">
        <v>174</v>
      </c>
      <c r="B27" s="115" t="s">
        <v>232</v>
      </c>
      <c r="C27" s="114">
        <v>45</v>
      </c>
      <c r="D27" s="116">
        <f>'Base de données indicateurs1'!BF47</f>
        <v>1070928.5399999998</v>
      </c>
      <c r="E27" s="4">
        <f>'Base de données indicateurs1'!E47</f>
        <v>2612.4499999999998</v>
      </c>
      <c r="F27" s="4">
        <f>'Base de données indicateurs1'!F47</f>
        <v>0</v>
      </c>
      <c r="G27" s="4">
        <f>'Base de données indicateurs1'!G47</f>
        <v>52538.2</v>
      </c>
      <c r="H27" s="4">
        <f>'Base de données indicateurs1'!H47</f>
        <v>21235</v>
      </c>
      <c r="I27" s="4">
        <f>'Base de données indicateurs1'!I47</f>
        <v>0</v>
      </c>
      <c r="J27" s="4">
        <f>'Base de données indicateurs1'!J47</f>
        <v>9247.6</v>
      </c>
      <c r="K27" s="4">
        <f>'Base de données indicateurs1'!K47</f>
        <v>25559.85</v>
      </c>
      <c r="L27" s="4">
        <f>'Base de données indicateurs1'!L47</f>
        <v>41211.35</v>
      </c>
      <c r="M27" s="4">
        <f>'Base de données indicateurs1'!M47</f>
        <v>3896.35</v>
      </c>
      <c r="N27" s="4">
        <f>'Base de données indicateurs1'!N47</f>
        <v>0</v>
      </c>
      <c r="O27" s="4">
        <f>'Base de données indicateurs1'!O47</f>
        <v>19882.5</v>
      </c>
      <c r="P27" s="4">
        <f>'Base de données indicateurs1'!P47</f>
        <v>28838.6</v>
      </c>
      <c r="Q27" s="4">
        <f>'Base de données indicateurs1'!Q47</f>
        <v>37386</v>
      </c>
      <c r="R27" s="4">
        <f>'Base de données indicateurs1'!R47</f>
        <v>0</v>
      </c>
      <c r="S27" s="4">
        <f>'Base de données indicateurs1'!S47</f>
        <v>0</v>
      </c>
      <c r="T27" s="4">
        <f>'Base de données indicateurs1'!T47</f>
        <v>1908.7</v>
      </c>
      <c r="U27" s="4">
        <f>'Base de données indicateurs1'!U47</f>
        <v>760.75</v>
      </c>
      <c r="V27" s="4">
        <f>'Base de données indicateurs1'!V47</f>
        <v>1216</v>
      </c>
      <c r="W27" s="4">
        <f>'Base de données indicateurs1'!W47</f>
        <v>9045.5</v>
      </c>
      <c r="X27" s="4">
        <f>'Base de données indicateurs1'!X47</f>
        <v>41224</v>
      </c>
      <c r="Y27" s="4">
        <f>'Base de données indicateurs1'!Y47</f>
        <v>3475.3</v>
      </c>
      <c r="Z27" s="4">
        <f>'Base de données indicateurs1'!Z47</f>
        <v>4342.8900000000003</v>
      </c>
      <c r="AA27" s="4">
        <f>'Base de données indicateurs1'!AA47</f>
        <v>0</v>
      </c>
      <c r="AB27" s="4">
        <f>'Base de données indicateurs1'!AB47</f>
        <v>1826.7</v>
      </c>
      <c r="AC27" s="4">
        <f>'Base de données indicateurs1'!AC47</f>
        <v>17757.55</v>
      </c>
      <c r="AD27" s="4">
        <f>'Base de données indicateurs1'!AD47</f>
        <v>1896.3</v>
      </c>
      <c r="AE27" s="4">
        <f>'Base de données indicateurs1'!AE47</f>
        <v>1622.9</v>
      </c>
      <c r="AF27" s="4">
        <f>'Base de données indicateurs1'!AF47</f>
        <v>101694.38</v>
      </c>
      <c r="AG27" s="4">
        <f>'Base de données indicateurs1'!AG47</f>
        <v>15235.5</v>
      </c>
      <c r="AH27" s="4">
        <f>'Base de données indicateurs1'!AH47</f>
        <v>18816</v>
      </c>
      <c r="AI27" s="4">
        <f>'Base de données indicateurs1'!AI47</f>
        <v>2</v>
      </c>
      <c r="AJ27" s="4">
        <f>'Base de données indicateurs1'!AJ47</f>
        <v>13682</v>
      </c>
      <c r="AK27" s="4">
        <f>'Base de données indicateurs1'!AK47</f>
        <v>19457.7</v>
      </c>
      <c r="AL27" s="4">
        <f>'Base de données indicateurs1'!AL47</f>
        <v>1404</v>
      </c>
      <c r="AM27" s="4">
        <f>'Base de données indicateurs1'!AM47</f>
        <v>0</v>
      </c>
      <c r="AN27" s="4">
        <f>'Base de données indicateurs1'!AN47</f>
        <v>329.1</v>
      </c>
      <c r="AO27" s="4">
        <f>'Base de données indicateurs1'!AO47</f>
        <v>30380.65</v>
      </c>
      <c r="AP27" s="4">
        <f>'Base de données indicateurs1'!AP47</f>
        <v>0</v>
      </c>
      <c r="AQ27" s="4">
        <f>'Base de données indicateurs1'!AQ47</f>
        <v>1827</v>
      </c>
      <c r="AR27" s="4">
        <f>'Base de données indicateurs1'!AR47</f>
        <v>414185.15</v>
      </c>
      <c r="AS27" s="4">
        <f>'Base de données indicateurs1'!AS47</f>
        <v>15731.1</v>
      </c>
      <c r="AT27" s="4">
        <f>'Base de données indicateurs1'!AT47</f>
        <v>20060.32</v>
      </c>
      <c r="AU27" s="4">
        <f>'Base de données indicateurs1'!AU47</f>
        <v>70569.3</v>
      </c>
      <c r="AV27" s="4">
        <f>'Base de données indicateurs1'!AV47</f>
        <v>6699.85</v>
      </c>
      <c r="AW27" s="4">
        <f>'Base de données indicateurs1'!AW47</f>
        <v>2179.9499999999998</v>
      </c>
      <c r="AX27" s="4">
        <f>'Base de données indicateurs1'!AX47</f>
        <v>529.95000000000005</v>
      </c>
      <c r="AY27" s="4">
        <f>'Base de données indicateurs1'!AY47</f>
        <v>0</v>
      </c>
      <c r="AZ27" s="4">
        <f>'Base de données indicateurs1'!AZ47</f>
        <v>9743.15</v>
      </c>
      <c r="BA27" s="4">
        <f>'Base de données indicateurs1'!BA47</f>
        <v>0</v>
      </c>
      <c r="BB27" s="4">
        <f>'Base de données indicateurs1'!BB47</f>
        <v>0</v>
      </c>
      <c r="BC27" s="4">
        <f>'Base de données indicateurs1'!BC47</f>
        <v>0</v>
      </c>
      <c r="BD27" s="4">
        <f>'Base de données indicateurs1'!BD47</f>
        <v>820.95</v>
      </c>
      <c r="BE27" s="4">
        <f>'Base de données indicateurs1'!BE47</f>
        <v>96</v>
      </c>
      <c r="BF27" s="4">
        <f t="shared" si="0"/>
        <v>255338.85000000003</v>
      </c>
      <c r="BG27" s="4">
        <f t="shared" si="1"/>
        <v>221575.52000000002</v>
      </c>
      <c r="BH27" s="4">
        <f t="shared" si="2"/>
        <v>594014.16999999993</v>
      </c>
    </row>
    <row r="28" spans="1:60" hidden="1" x14ac:dyDescent="0.25">
      <c r="A28" s="114" t="s">
        <v>519</v>
      </c>
      <c r="B28" s="115" t="s">
        <v>231</v>
      </c>
      <c r="C28" s="114">
        <v>364</v>
      </c>
      <c r="D28" s="116">
        <f>'Base de données indicateurs1'!BF28</f>
        <v>0</v>
      </c>
      <c r="E28" s="4">
        <f>'Base de données indicateurs1'!E28</f>
        <v>0</v>
      </c>
      <c r="F28" s="4">
        <f>'Base de données indicateurs1'!F28</f>
        <v>0</v>
      </c>
      <c r="G28" s="4">
        <f>'Base de données indicateurs1'!G28</f>
        <v>0</v>
      </c>
      <c r="H28" s="4">
        <f>'Base de données indicateurs1'!H28</f>
        <v>0</v>
      </c>
      <c r="I28" s="4">
        <f>'Base de données indicateurs1'!I28</f>
        <v>0</v>
      </c>
      <c r="J28" s="4">
        <f>'Base de données indicateurs1'!J28</f>
        <v>0</v>
      </c>
      <c r="K28" s="4">
        <f>'Base de données indicateurs1'!K28</f>
        <v>0</v>
      </c>
      <c r="L28" s="4">
        <f>'Base de données indicateurs1'!L28</f>
        <v>0</v>
      </c>
      <c r="M28" s="4">
        <f>'Base de données indicateurs1'!M28</f>
        <v>0</v>
      </c>
      <c r="N28" s="4">
        <f>'Base de données indicateurs1'!N28</f>
        <v>0</v>
      </c>
      <c r="O28" s="4">
        <f>'Base de données indicateurs1'!O28</f>
        <v>0</v>
      </c>
      <c r="P28" s="4">
        <f>'Base de données indicateurs1'!P28</f>
        <v>0</v>
      </c>
      <c r="Q28" s="4">
        <f>'Base de données indicateurs1'!Q28</f>
        <v>0</v>
      </c>
      <c r="R28" s="4">
        <f>'Base de données indicateurs1'!R28</f>
        <v>0</v>
      </c>
      <c r="S28" s="4">
        <f>'Base de données indicateurs1'!S28</f>
        <v>0</v>
      </c>
      <c r="T28" s="4">
        <f>'Base de données indicateurs1'!T28</f>
        <v>0</v>
      </c>
      <c r="U28" s="4">
        <f>'Base de données indicateurs1'!U28</f>
        <v>0</v>
      </c>
      <c r="V28" s="4">
        <f>'Base de données indicateurs1'!V28</f>
        <v>0</v>
      </c>
      <c r="W28" s="4">
        <f>'Base de données indicateurs1'!W28</f>
        <v>0</v>
      </c>
      <c r="X28" s="4">
        <f>'Base de données indicateurs1'!X28</f>
        <v>0</v>
      </c>
      <c r="Y28" s="4">
        <f>'Base de données indicateurs1'!Y28</f>
        <v>0</v>
      </c>
      <c r="Z28" s="4">
        <f>'Base de données indicateurs1'!Z28</f>
        <v>0</v>
      </c>
      <c r="AA28" s="4">
        <f>'Base de données indicateurs1'!AA28</f>
        <v>0</v>
      </c>
      <c r="AB28" s="4">
        <f>'Base de données indicateurs1'!AB28</f>
        <v>0</v>
      </c>
      <c r="AC28" s="4">
        <f>'Base de données indicateurs1'!AC28</f>
        <v>0</v>
      </c>
      <c r="AD28" s="4">
        <f>'Base de données indicateurs1'!AD28</f>
        <v>0</v>
      </c>
      <c r="AE28" s="4">
        <f>'Base de données indicateurs1'!AE28</f>
        <v>0</v>
      </c>
      <c r="AF28" s="4">
        <f>'Base de données indicateurs1'!AF28</f>
        <v>0</v>
      </c>
      <c r="AG28" s="4">
        <f>'Base de données indicateurs1'!AG28</f>
        <v>0</v>
      </c>
      <c r="AH28" s="4">
        <f>'Base de données indicateurs1'!AH28</f>
        <v>0</v>
      </c>
      <c r="AI28" s="4">
        <f>'Base de données indicateurs1'!AI28</f>
        <v>0</v>
      </c>
      <c r="AJ28" s="4">
        <f>'Base de données indicateurs1'!AJ28</f>
        <v>0</v>
      </c>
      <c r="AK28" s="4">
        <f>'Base de données indicateurs1'!AK28</f>
        <v>0</v>
      </c>
      <c r="AL28" s="4">
        <f>'Base de données indicateurs1'!AL28</f>
        <v>0</v>
      </c>
      <c r="AM28" s="4">
        <f>'Base de données indicateurs1'!AM28</f>
        <v>0</v>
      </c>
      <c r="AN28" s="4">
        <f>'Base de données indicateurs1'!AN28</f>
        <v>0</v>
      </c>
      <c r="AO28" s="4">
        <f>'Base de données indicateurs1'!AO28</f>
        <v>0</v>
      </c>
      <c r="AP28" s="4">
        <f>'Base de données indicateurs1'!AP28</f>
        <v>0</v>
      </c>
      <c r="AQ28" s="4">
        <f>'Base de données indicateurs1'!AQ28</f>
        <v>0</v>
      </c>
      <c r="AR28" s="4">
        <f>'Base de données indicateurs1'!AR28</f>
        <v>0</v>
      </c>
      <c r="AS28" s="4">
        <f>'Base de données indicateurs1'!AS28</f>
        <v>0</v>
      </c>
      <c r="AT28" s="4">
        <f>'Base de données indicateurs1'!AT28</f>
        <v>0</v>
      </c>
      <c r="AU28" s="4">
        <f>'Base de données indicateurs1'!AU28</f>
        <v>0</v>
      </c>
      <c r="AV28" s="4">
        <f>'Base de données indicateurs1'!AV28</f>
        <v>0</v>
      </c>
      <c r="AW28" s="4">
        <f>'Base de données indicateurs1'!AW28</f>
        <v>0</v>
      </c>
      <c r="AX28" s="4">
        <f>'Base de données indicateurs1'!AX28</f>
        <v>0</v>
      </c>
      <c r="AY28" s="4">
        <f>'Base de données indicateurs1'!AY28</f>
        <v>0</v>
      </c>
      <c r="AZ28" s="4">
        <f>'Base de données indicateurs1'!AZ28</f>
        <v>0</v>
      </c>
      <c r="BA28" s="4">
        <f>'Base de données indicateurs1'!BA28</f>
        <v>0</v>
      </c>
      <c r="BB28" s="4">
        <f>'Base de données indicateurs1'!BB28</f>
        <v>0</v>
      </c>
      <c r="BC28" s="4">
        <f>'Base de données indicateurs1'!BC28</f>
        <v>0</v>
      </c>
      <c r="BD28" s="4">
        <f>'Base de données indicateurs1'!BD28</f>
        <v>0</v>
      </c>
      <c r="BE28" s="4">
        <f>'Base de données indicateurs1'!BE28</f>
        <v>0</v>
      </c>
      <c r="BF28" s="4">
        <f t="shared" si="0"/>
        <v>0</v>
      </c>
      <c r="BG28" s="4">
        <f t="shared" si="1"/>
        <v>0</v>
      </c>
      <c r="BH28" s="4">
        <f t="shared" si="2"/>
        <v>0</v>
      </c>
    </row>
    <row r="29" spans="1:60" hidden="1" x14ac:dyDescent="0.25">
      <c r="A29" s="114" t="s">
        <v>520</v>
      </c>
      <c r="B29" s="115" t="s">
        <v>231</v>
      </c>
      <c r="C29" s="114">
        <v>365</v>
      </c>
      <c r="D29" s="116">
        <f>'Base de données indicateurs1'!BF29</f>
        <v>8100</v>
      </c>
      <c r="E29" s="4">
        <f>'Base de données indicateurs1'!E29</f>
        <v>0</v>
      </c>
      <c r="F29" s="4">
        <f>'Base de données indicateurs1'!F29</f>
        <v>0</v>
      </c>
      <c r="G29" s="4">
        <f>'Base de données indicateurs1'!G29</f>
        <v>0</v>
      </c>
      <c r="H29" s="4">
        <f>'Base de données indicateurs1'!H29</f>
        <v>0</v>
      </c>
      <c r="I29" s="4">
        <f>'Base de données indicateurs1'!I29</f>
        <v>0</v>
      </c>
      <c r="J29" s="4">
        <f>'Base de données indicateurs1'!J29</f>
        <v>0</v>
      </c>
      <c r="K29" s="4">
        <f>'Base de données indicateurs1'!K29</f>
        <v>0</v>
      </c>
      <c r="L29" s="4">
        <f>'Base de données indicateurs1'!L29</f>
        <v>0</v>
      </c>
      <c r="M29" s="4">
        <f>'Base de données indicateurs1'!M29</f>
        <v>0</v>
      </c>
      <c r="N29" s="4">
        <f>'Base de données indicateurs1'!N29</f>
        <v>0</v>
      </c>
      <c r="O29" s="4">
        <f>'Base de données indicateurs1'!O29</f>
        <v>0</v>
      </c>
      <c r="P29" s="4">
        <f>'Base de données indicateurs1'!P29</f>
        <v>0</v>
      </c>
      <c r="Q29" s="4">
        <f>'Base de données indicateurs1'!Q29</f>
        <v>0</v>
      </c>
      <c r="R29" s="4">
        <f>'Base de données indicateurs1'!R29</f>
        <v>0</v>
      </c>
      <c r="S29" s="4">
        <f>'Base de données indicateurs1'!S29</f>
        <v>0</v>
      </c>
      <c r="T29" s="4">
        <f>'Base de données indicateurs1'!T29</f>
        <v>0</v>
      </c>
      <c r="U29" s="4">
        <f>'Base de données indicateurs1'!U29</f>
        <v>8100</v>
      </c>
      <c r="V29" s="4">
        <f>'Base de données indicateurs1'!V29</f>
        <v>0</v>
      </c>
      <c r="W29" s="4">
        <f>'Base de données indicateurs1'!W29</f>
        <v>0</v>
      </c>
      <c r="X29" s="4">
        <f>'Base de données indicateurs1'!X29</f>
        <v>0</v>
      </c>
      <c r="Y29" s="4">
        <f>'Base de données indicateurs1'!Y29</f>
        <v>0</v>
      </c>
      <c r="Z29" s="4">
        <f>'Base de données indicateurs1'!Z29</f>
        <v>0</v>
      </c>
      <c r="AA29" s="4">
        <f>'Base de données indicateurs1'!AA29</f>
        <v>0</v>
      </c>
      <c r="AB29" s="4">
        <f>'Base de données indicateurs1'!AB29</f>
        <v>0</v>
      </c>
      <c r="AC29" s="4">
        <f>'Base de données indicateurs1'!AC29</f>
        <v>0</v>
      </c>
      <c r="AD29" s="4">
        <f>'Base de données indicateurs1'!AD29</f>
        <v>0</v>
      </c>
      <c r="AE29" s="4">
        <f>'Base de données indicateurs1'!AE29</f>
        <v>0</v>
      </c>
      <c r="AF29" s="4">
        <f>'Base de données indicateurs1'!AF29</f>
        <v>0</v>
      </c>
      <c r="AG29" s="4">
        <f>'Base de données indicateurs1'!AG29</f>
        <v>0</v>
      </c>
      <c r="AH29" s="4">
        <f>'Base de données indicateurs1'!AH29</f>
        <v>0</v>
      </c>
      <c r="AI29" s="4">
        <f>'Base de données indicateurs1'!AI29</f>
        <v>0</v>
      </c>
      <c r="AJ29" s="4">
        <f>'Base de données indicateurs1'!AJ29</f>
        <v>0</v>
      </c>
      <c r="AK29" s="4">
        <f>'Base de données indicateurs1'!AK29</f>
        <v>0</v>
      </c>
      <c r="AL29" s="4">
        <f>'Base de données indicateurs1'!AL29</f>
        <v>0</v>
      </c>
      <c r="AM29" s="4">
        <f>'Base de données indicateurs1'!AM29</f>
        <v>0</v>
      </c>
      <c r="AN29" s="4">
        <f>'Base de données indicateurs1'!AN29</f>
        <v>0</v>
      </c>
      <c r="AO29" s="4">
        <f>'Base de données indicateurs1'!AO29</f>
        <v>0</v>
      </c>
      <c r="AP29" s="4">
        <f>'Base de données indicateurs1'!AP29</f>
        <v>0</v>
      </c>
      <c r="AQ29" s="4">
        <f>'Base de données indicateurs1'!AQ29</f>
        <v>0</v>
      </c>
      <c r="AR29" s="4">
        <f>'Base de données indicateurs1'!AR29</f>
        <v>0</v>
      </c>
      <c r="AS29" s="4">
        <f>'Base de données indicateurs1'!AS29</f>
        <v>0</v>
      </c>
      <c r="AT29" s="4">
        <f>'Base de données indicateurs1'!AT29</f>
        <v>0</v>
      </c>
      <c r="AU29" s="4">
        <f>'Base de données indicateurs1'!AU29</f>
        <v>0</v>
      </c>
      <c r="AV29" s="4">
        <f>'Base de données indicateurs1'!AV29</f>
        <v>0</v>
      </c>
      <c r="AW29" s="4">
        <f>'Base de données indicateurs1'!AW29</f>
        <v>0</v>
      </c>
      <c r="AX29" s="4">
        <f>'Base de données indicateurs1'!AX29</f>
        <v>0</v>
      </c>
      <c r="AY29" s="4">
        <f>'Base de données indicateurs1'!AY29</f>
        <v>0</v>
      </c>
      <c r="AZ29" s="4">
        <f>'Base de données indicateurs1'!AZ29</f>
        <v>0</v>
      </c>
      <c r="BA29" s="4">
        <f>'Base de données indicateurs1'!BA29</f>
        <v>0</v>
      </c>
      <c r="BB29" s="4">
        <f>'Base de données indicateurs1'!BB29</f>
        <v>0</v>
      </c>
      <c r="BC29" s="4">
        <f>'Base de données indicateurs1'!BC29</f>
        <v>0</v>
      </c>
      <c r="BD29" s="4">
        <f>'Base de données indicateurs1'!BD29</f>
        <v>0</v>
      </c>
      <c r="BE29" s="4">
        <f>'Base de données indicateurs1'!BE29</f>
        <v>0</v>
      </c>
      <c r="BF29" s="4">
        <f t="shared" si="0"/>
        <v>8100</v>
      </c>
      <c r="BG29" s="4">
        <f t="shared" si="1"/>
        <v>0</v>
      </c>
      <c r="BH29" s="4">
        <f t="shared" si="2"/>
        <v>0</v>
      </c>
    </row>
    <row r="30" spans="1:60" hidden="1" x14ac:dyDescent="0.25">
      <c r="A30" s="114" t="s">
        <v>521</v>
      </c>
      <c r="B30" s="115" t="s">
        <v>231</v>
      </c>
      <c r="C30" s="114">
        <v>366</v>
      </c>
      <c r="D30" s="116">
        <f>'Base de données indicateurs1'!BF30</f>
        <v>15247.55</v>
      </c>
      <c r="E30" s="4">
        <f>'Base de données indicateurs1'!E30</f>
        <v>0</v>
      </c>
      <c r="F30" s="4">
        <f>'Base de données indicateurs1'!F30</f>
        <v>0</v>
      </c>
      <c r="G30" s="4">
        <f>'Base de données indicateurs1'!G30</f>
        <v>0</v>
      </c>
      <c r="H30" s="4">
        <f>'Base de données indicateurs1'!H30</f>
        <v>0</v>
      </c>
      <c r="I30" s="4">
        <f>'Base de données indicateurs1'!I30</f>
        <v>0</v>
      </c>
      <c r="J30" s="4">
        <f>'Base de données indicateurs1'!J30</f>
        <v>0</v>
      </c>
      <c r="K30" s="4">
        <f>'Base de données indicateurs1'!K30</f>
        <v>0</v>
      </c>
      <c r="L30" s="4">
        <f>'Base de données indicateurs1'!L30</f>
        <v>0</v>
      </c>
      <c r="M30" s="4">
        <f>'Base de données indicateurs1'!M30</f>
        <v>0</v>
      </c>
      <c r="N30" s="4">
        <f>'Base de données indicateurs1'!N30</f>
        <v>0</v>
      </c>
      <c r="O30" s="4">
        <f>'Base de données indicateurs1'!O30</f>
        <v>15247.55</v>
      </c>
      <c r="P30" s="4">
        <f>'Base de données indicateurs1'!P30</f>
        <v>0</v>
      </c>
      <c r="Q30" s="4">
        <f>'Base de données indicateurs1'!Q30</f>
        <v>0</v>
      </c>
      <c r="R30" s="4">
        <f>'Base de données indicateurs1'!R30</f>
        <v>0</v>
      </c>
      <c r="S30" s="4">
        <f>'Base de données indicateurs1'!S30</f>
        <v>0</v>
      </c>
      <c r="T30" s="4">
        <f>'Base de données indicateurs1'!T30</f>
        <v>0</v>
      </c>
      <c r="U30" s="4">
        <f>'Base de données indicateurs1'!U30</f>
        <v>0</v>
      </c>
      <c r="V30" s="4">
        <f>'Base de données indicateurs1'!V30</f>
        <v>0</v>
      </c>
      <c r="W30" s="4">
        <f>'Base de données indicateurs1'!W30</f>
        <v>0</v>
      </c>
      <c r="X30" s="4">
        <f>'Base de données indicateurs1'!X30</f>
        <v>0</v>
      </c>
      <c r="Y30" s="4">
        <f>'Base de données indicateurs1'!Y30</f>
        <v>0</v>
      </c>
      <c r="Z30" s="4">
        <f>'Base de données indicateurs1'!Z30</f>
        <v>0</v>
      </c>
      <c r="AA30" s="4">
        <f>'Base de données indicateurs1'!AA30</f>
        <v>0</v>
      </c>
      <c r="AB30" s="4">
        <f>'Base de données indicateurs1'!AB30</f>
        <v>0</v>
      </c>
      <c r="AC30" s="4">
        <f>'Base de données indicateurs1'!AC30</f>
        <v>0</v>
      </c>
      <c r="AD30" s="4">
        <f>'Base de données indicateurs1'!AD30</f>
        <v>0</v>
      </c>
      <c r="AE30" s="4">
        <f>'Base de données indicateurs1'!AE30</f>
        <v>0</v>
      </c>
      <c r="AF30" s="4">
        <f>'Base de données indicateurs1'!AF30</f>
        <v>0</v>
      </c>
      <c r="AG30" s="4">
        <f>'Base de données indicateurs1'!AG30</f>
        <v>0</v>
      </c>
      <c r="AH30" s="4">
        <f>'Base de données indicateurs1'!AH30</f>
        <v>0</v>
      </c>
      <c r="AI30" s="4">
        <f>'Base de données indicateurs1'!AI30</f>
        <v>0</v>
      </c>
      <c r="AJ30" s="4">
        <f>'Base de données indicateurs1'!AJ30</f>
        <v>0</v>
      </c>
      <c r="AK30" s="4">
        <f>'Base de données indicateurs1'!AK30</f>
        <v>0</v>
      </c>
      <c r="AL30" s="4">
        <f>'Base de données indicateurs1'!AL30</f>
        <v>0</v>
      </c>
      <c r="AM30" s="4">
        <f>'Base de données indicateurs1'!AM30</f>
        <v>0</v>
      </c>
      <c r="AN30" s="4">
        <f>'Base de données indicateurs1'!AN30</f>
        <v>0</v>
      </c>
      <c r="AO30" s="4">
        <f>'Base de données indicateurs1'!AO30</f>
        <v>0</v>
      </c>
      <c r="AP30" s="4">
        <f>'Base de données indicateurs1'!AP30</f>
        <v>0</v>
      </c>
      <c r="AQ30" s="4">
        <f>'Base de données indicateurs1'!AQ30</f>
        <v>0</v>
      </c>
      <c r="AR30" s="4">
        <f>'Base de données indicateurs1'!AR30</f>
        <v>0</v>
      </c>
      <c r="AS30" s="4">
        <f>'Base de données indicateurs1'!AS30</f>
        <v>0</v>
      </c>
      <c r="AT30" s="4">
        <f>'Base de données indicateurs1'!AT30</f>
        <v>0</v>
      </c>
      <c r="AU30" s="4">
        <f>'Base de données indicateurs1'!AU30</f>
        <v>0</v>
      </c>
      <c r="AV30" s="4">
        <f>'Base de données indicateurs1'!AV30</f>
        <v>0</v>
      </c>
      <c r="AW30" s="4">
        <f>'Base de données indicateurs1'!AW30</f>
        <v>0</v>
      </c>
      <c r="AX30" s="4">
        <f>'Base de données indicateurs1'!AX30</f>
        <v>0</v>
      </c>
      <c r="AY30" s="4">
        <f>'Base de données indicateurs1'!AY30</f>
        <v>0</v>
      </c>
      <c r="AZ30" s="4">
        <f>'Base de données indicateurs1'!AZ30</f>
        <v>0</v>
      </c>
      <c r="BA30" s="4">
        <f>'Base de données indicateurs1'!BA30</f>
        <v>0</v>
      </c>
      <c r="BB30" s="4">
        <f>'Base de données indicateurs1'!BB30</f>
        <v>0</v>
      </c>
      <c r="BC30" s="4">
        <f>'Base de données indicateurs1'!BC30</f>
        <v>0</v>
      </c>
      <c r="BD30" s="4">
        <f>'Base de données indicateurs1'!BD30</f>
        <v>0</v>
      </c>
      <c r="BE30" s="4">
        <f>'Base de données indicateurs1'!BE30</f>
        <v>0</v>
      </c>
      <c r="BF30" s="4">
        <f t="shared" si="0"/>
        <v>15247.55</v>
      </c>
      <c r="BG30" s="4">
        <f t="shared" si="1"/>
        <v>0</v>
      </c>
      <c r="BH30" s="4">
        <f t="shared" si="2"/>
        <v>0</v>
      </c>
    </row>
    <row r="31" spans="1:60" hidden="1" x14ac:dyDescent="0.25">
      <c r="A31" s="114" t="s">
        <v>522</v>
      </c>
      <c r="B31" s="115" t="s">
        <v>231</v>
      </c>
      <c r="C31" s="114">
        <v>389</v>
      </c>
      <c r="D31" s="116">
        <f>'Base de données indicateurs1'!BF31</f>
        <v>5296393.62</v>
      </c>
      <c r="E31" s="4">
        <f>'Base de données indicateurs1'!E31</f>
        <v>320000</v>
      </c>
      <c r="F31" s="4">
        <f>'Base de données indicateurs1'!F31</f>
        <v>0</v>
      </c>
      <c r="G31" s="4">
        <f>'Base de données indicateurs1'!G31</f>
        <v>0</v>
      </c>
      <c r="H31" s="4">
        <f>'Base de données indicateurs1'!H31</f>
        <v>201.69</v>
      </c>
      <c r="I31" s="4">
        <f>'Base de données indicateurs1'!I31</f>
        <v>0</v>
      </c>
      <c r="J31" s="4">
        <f>'Base de données indicateurs1'!J31</f>
        <v>400000</v>
      </c>
      <c r="K31" s="4">
        <f>'Base de données indicateurs1'!K31</f>
        <v>0</v>
      </c>
      <c r="L31" s="4">
        <f>'Base de données indicateurs1'!L31</f>
        <v>0</v>
      </c>
      <c r="M31" s="4">
        <f>'Base de données indicateurs1'!M31</f>
        <v>0</v>
      </c>
      <c r="N31" s="4">
        <f>'Base de données indicateurs1'!N31</f>
        <v>0</v>
      </c>
      <c r="O31" s="4">
        <f>'Base de données indicateurs1'!O31</f>
        <v>0</v>
      </c>
      <c r="P31" s="4">
        <f>'Base de données indicateurs1'!P31</f>
        <v>8327.56</v>
      </c>
      <c r="Q31" s="4">
        <f>'Base de données indicateurs1'!Q31</f>
        <v>0</v>
      </c>
      <c r="R31" s="4">
        <f>'Base de données indicateurs1'!R31</f>
        <v>0</v>
      </c>
      <c r="S31" s="4">
        <f>'Base de données indicateurs1'!S31</f>
        <v>0</v>
      </c>
      <c r="T31" s="4">
        <f>'Base de données indicateurs1'!T31</f>
        <v>0</v>
      </c>
      <c r="U31" s="4">
        <f>'Base de données indicateurs1'!U31</f>
        <v>0</v>
      </c>
      <c r="V31" s="4">
        <f>'Base de données indicateurs1'!V31</f>
        <v>0</v>
      </c>
      <c r="W31" s="4">
        <f>'Base de données indicateurs1'!W31</f>
        <v>250000</v>
      </c>
      <c r="X31" s="4">
        <f>'Base de données indicateurs1'!X31</f>
        <v>70000</v>
      </c>
      <c r="Y31" s="4">
        <f>'Base de données indicateurs1'!Y31</f>
        <v>0</v>
      </c>
      <c r="Z31" s="4">
        <f>'Base de données indicateurs1'!Z31</f>
        <v>0</v>
      </c>
      <c r="AA31" s="4">
        <f>'Base de données indicateurs1'!AA31</f>
        <v>0</v>
      </c>
      <c r="AB31" s="4">
        <f>'Base de données indicateurs1'!AB31</f>
        <v>0</v>
      </c>
      <c r="AC31" s="4">
        <f>'Base de données indicateurs1'!AC31</f>
        <v>0</v>
      </c>
      <c r="AD31" s="4">
        <f>'Base de données indicateurs1'!AD31</f>
        <v>0</v>
      </c>
      <c r="AE31" s="4">
        <f>'Base de données indicateurs1'!AE31</f>
        <v>0</v>
      </c>
      <c r="AF31" s="4">
        <f>'Base de données indicateurs1'!AF31</f>
        <v>400000</v>
      </c>
      <c r="AG31" s="4">
        <f>'Base de données indicateurs1'!AG31</f>
        <v>0</v>
      </c>
      <c r="AH31" s="4">
        <f>'Base de données indicateurs1'!AH31</f>
        <v>150000</v>
      </c>
      <c r="AI31" s="4">
        <f>'Base de données indicateurs1'!AI31</f>
        <v>140000</v>
      </c>
      <c r="AJ31" s="4">
        <f>'Base de données indicateurs1'!AJ31</f>
        <v>0</v>
      </c>
      <c r="AK31" s="4">
        <f>'Base de données indicateurs1'!AK31</f>
        <v>0</v>
      </c>
      <c r="AL31" s="4">
        <f>'Base de données indicateurs1'!AL31</f>
        <v>148400</v>
      </c>
      <c r="AM31" s="4">
        <f>'Base de données indicateurs1'!AM31</f>
        <v>0</v>
      </c>
      <c r="AN31" s="4">
        <f>'Base de données indicateurs1'!AN31</f>
        <v>492.17</v>
      </c>
      <c r="AO31" s="4">
        <f>'Base de données indicateurs1'!AO31</f>
        <v>0</v>
      </c>
      <c r="AP31" s="4">
        <f>'Base de données indicateurs1'!AP31</f>
        <v>300000</v>
      </c>
      <c r="AQ31" s="4">
        <f>'Base de données indicateurs1'!AQ31</f>
        <v>100000</v>
      </c>
      <c r="AR31" s="4">
        <f>'Base de données indicateurs1'!AR31</f>
        <v>520000</v>
      </c>
      <c r="AS31" s="4">
        <f>'Base de données indicateurs1'!AS31</f>
        <v>0</v>
      </c>
      <c r="AT31" s="4">
        <f>'Base de données indicateurs1'!AT31</f>
        <v>0</v>
      </c>
      <c r="AU31" s="4">
        <f>'Base de données indicateurs1'!AU31</f>
        <v>826972.2</v>
      </c>
      <c r="AV31" s="4">
        <f>'Base de données indicateurs1'!AV31</f>
        <v>0</v>
      </c>
      <c r="AW31" s="4">
        <f>'Base de données indicateurs1'!AW31</f>
        <v>0</v>
      </c>
      <c r="AX31" s="4">
        <f>'Base de données indicateurs1'!AX31</f>
        <v>0</v>
      </c>
      <c r="AY31" s="4">
        <f>'Base de données indicateurs1'!AY31</f>
        <v>58000</v>
      </c>
      <c r="AZ31" s="4">
        <f>'Base de données indicateurs1'!AZ31</f>
        <v>150000</v>
      </c>
      <c r="BA31" s="4">
        <f>'Base de données indicateurs1'!BA31</f>
        <v>200000</v>
      </c>
      <c r="BB31" s="4">
        <f>'Base de données indicateurs1'!BB31</f>
        <v>454000</v>
      </c>
      <c r="BC31" s="4">
        <f>'Base de données indicateurs1'!BC31</f>
        <v>0</v>
      </c>
      <c r="BD31" s="4">
        <f>'Base de données indicateurs1'!BD31</f>
        <v>800000</v>
      </c>
      <c r="BE31" s="4">
        <f>'Base de données indicateurs1'!BE31</f>
        <v>0</v>
      </c>
      <c r="BF31" s="4">
        <f t="shared" si="0"/>
        <v>978529.25</v>
      </c>
      <c r="BG31" s="4">
        <f t="shared" si="1"/>
        <v>760000</v>
      </c>
      <c r="BH31" s="4">
        <f t="shared" si="2"/>
        <v>3557864.37</v>
      </c>
    </row>
    <row r="32" spans="1:60" hidden="1" x14ac:dyDescent="0.25">
      <c r="A32" s="114" t="s">
        <v>239</v>
      </c>
      <c r="B32" s="115" t="s">
        <v>232</v>
      </c>
      <c r="C32" s="114">
        <v>489</v>
      </c>
      <c r="D32" s="116">
        <f>'Base de données indicateurs1'!BF51</f>
        <v>2275423.12</v>
      </c>
      <c r="E32" s="4">
        <f>'Base de données indicateurs1'!E51</f>
        <v>0</v>
      </c>
      <c r="F32" s="4">
        <f>'Base de données indicateurs1'!F51</f>
        <v>0</v>
      </c>
      <c r="G32" s="4">
        <f>'Base de données indicateurs1'!G51</f>
        <v>0</v>
      </c>
      <c r="H32" s="4">
        <f>'Base de données indicateurs1'!H51</f>
        <v>0</v>
      </c>
      <c r="I32" s="4">
        <f>'Base de données indicateurs1'!I51</f>
        <v>300000</v>
      </c>
      <c r="J32" s="4">
        <f>'Base de données indicateurs1'!J51</f>
        <v>0</v>
      </c>
      <c r="K32" s="4">
        <f>'Base de données indicateurs1'!K51</f>
        <v>0</v>
      </c>
      <c r="L32" s="4">
        <f>'Base de données indicateurs1'!L51</f>
        <v>1100000</v>
      </c>
      <c r="M32" s="4">
        <f>'Base de données indicateurs1'!M51</f>
        <v>0</v>
      </c>
      <c r="N32" s="4">
        <f>'Base de données indicateurs1'!N51</f>
        <v>0</v>
      </c>
      <c r="O32" s="4">
        <f>'Base de données indicateurs1'!O51</f>
        <v>2478.3000000000002</v>
      </c>
      <c r="P32" s="4">
        <f>'Base de données indicateurs1'!P51</f>
        <v>0</v>
      </c>
      <c r="Q32" s="4">
        <f>'Base de données indicateurs1'!Q51</f>
        <v>20000</v>
      </c>
      <c r="R32" s="4">
        <f>'Base de données indicateurs1'!R51</f>
        <v>0</v>
      </c>
      <c r="S32" s="4">
        <f>'Base de données indicateurs1'!S51</f>
        <v>0</v>
      </c>
      <c r="T32" s="4">
        <f>'Base de données indicateurs1'!T51</f>
        <v>0</v>
      </c>
      <c r="U32" s="4">
        <f>'Base de données indicateurs1'!U51</f>
        <v>0</v>
      </c>
      <c r="V32" s="4">
        <f>'Base de données indicateurs1'!V51</f>
        <v>0</v>
      </c>
      <c r="W32" s="4">
        <f>'Base de données indicateurs1'!W51</f>
        <v>0</v>
      </c>
      <c r="X32" s="4">
        <f>'Base de données indicateurs1'!X51</f>
        <v>0</v>
      </c>
      <c r="Y32" s="4">
        <f>'Base de données indicateurs1'!Y51</f>
        <v>0</v>
      </c>
      <c r="Z32" s="4">
        <f>'Base de données indicateurs1'!Z51</f>
        <v>0</v>
      </c>
      <c r="AA32" s="4">
        <f>'Base de données indicateurs1'!AA51</f>
        <v>0</v>
      </c>
      <c r="AB32" s="4">
        <f>'Base de données indicateurs1'!AB51</f>
        <v>0</v>
      </c>
      <c r="AC32" s="4">
        <f>'Base de données indicateurs1'!AC51</f>
        <v>206471.32</v>
      </c>
      <c r="AD32" s="4">
        <f>'Base de données indicateurs1'!AD51</f>
        <v>151113.5</v>
      </c>
      <c r="AE32" s="4">
        <f>'Base de données indicateurs1'!AE51</f>
        <v>0</v>
      </c>
      <c r="AF32" s="4">
        <f>'Base de données indicateurs1'!AF51</f>
        <v>0</v>
      </c>
      <c r="AG32" s="4">
        <f>'Base de données indicateurs1'!AG51</f>
        <v>0</v>
      </c>
      <c r="AH32" s="4">
        <f>'Base de données indicateurs1'!AH51</f>
        <v>0</v>
      </c>
      <c r="AI32" s="4">
        <f>'Base de données indicateurs1'!AI51</f>
        <v>0</v>
      </c>
      <c r="AJ32" s="4">
        <f>'Base de données indicateurs1'!AJ51</f>
        <v>0</v>
      </c>
      <c r="AK32" s="4">
        <f>'Base de données indicateurs1'!AK51</f>
        <v>0</v>
      </c>
      <c r="AL32" s="4">
        <f>'Base de données indicateurs1'!AL51</f>
        <v>0</v>
      </c>
      <c r="AM32" s="4">
        <f>'Base de données indicateurs1'!AM51</f>
        <v>0</v>
      </c>
      <c r="AN32" s="4">
        <f>'Base de données indicateurs1'!AN51</f>
        <v>0</v>
      </c>
      <c r="AO32" s="4">
        <f>'Base de données indicateurs1'!AO51</f>
        <v>0</v>
      </c>
      <c r="AP32" s="4">
        <f>'Base de données indicateurs1'!AP51</f>
        <v>0</v>
      </c>
      <c r="AQ32" s="4">
        <f>'Base de données indicateurs1'!AQ51</f>
        <v>0</v>
      </c>
      <c r="AR32" s="4">
        <f>'Base de données indicateurs1'!AR51</f>
        <v>0</v>
      </c>
      <c r="AS32" s="4">
        <f>'Base de données indicateurs1'!AS51</f>
        <v>0</v>
      </c>
      <c r="AT32" s="4">
        <f>'Base de données indicateurs1'!AT51</f>
        <v>50000</v>
      </c>
      <c r="AU32" s="4">
        <f>'Base de données indicateurs1'!AU51</f>
        <v>0</v>
      </c>
      <c r="AV32" s="4">
        <f>'Base de données indicateurs1'!AV51</f>
        <v>425359</v>
      </c>
      <c r="AW32" s="4">
        <f>'Base de données indicateurs1'!AW51</f>
        <v>0</v>
      </c>
      <c r="AX32" s="4">
        <f>'Base de données indicateurs1'!AX51</f>
        <v>20000</v>
      </c>
      <c r="AY32" s="4">
        <f>'Base de données indicateurs1'!AY51</f>
        <v>0</v>
      </c>
      <c r="AZ32" s="4">
        <f>'Base de données indicateurs1'!AZ51</f>
        <v>0</v>
      </c>
      <c r="BA32" s="4">
        <f>'Base de données indicateurs1'!BA51</f>
        <v>0</v>
      </c>
      <c r="BB32" s="4">
        <f>'Base de données indicateurs1'!BB51</f>
        <v>0</v>
      </c>
      <c r="BC32" s="4">
        <f>'Base de données indicateurs1'!BC51</f>
        <v>1</v>
      </c>
      <c r="BD32" s="4">
        <f>'Base de données indicateurs1'!BD51</f>
        <v>0</v>
      </c>
      <c r="BE32" s="4">
        <f>'Base de données indicateurs1'!BE51</f>
        <v>0</v>
      </c>
      <c r="BF32" s="4">
        <f t="shared" si="0"/>
        <v>1422478.3</v>
      </c>
      <c r="BG32" s="4">
        <f t="shared" si="1"/>
        <v>357584.82</v>
      </c>
      <c r="BH32" s="4">
        <f t="shared" si="2"/>
        <v>495360</v>
      </c>
    </row>
    <row r="33" spans="1:60" hidden="1" x14ac:dyDescent="0.25">
      <c r="A33" s="114" t="s">
        <v>523</v>
      </c>
      <c r="B33" s="115" t="s">
        <v>232</v>
      </c>
      <c r="C33" s="114">
        <v>4490</v>
      </c>
      <c r="D33" s="116">
        <f>'Base de données indicateurs1'!BF46</f>
        <v>299999</v>
      </c>
      <c r="E33" s="4">
        <f>'Base de données indicateurs1'!E46</f>
        <v>0</v>
      </c>
      <c r="F33" s="4">
        <f>'Base de données indicateurs1'!F46</f>
        <v>0</v>
      </c>
      <c r="G33" s="4">
        <f>'Base de données indicateurs1'!G46</f>
        <v>0</v>
      </c>
      <c r="H33" s="4">
        <f>'Base de données indicateurs1'!H46</f>
        <v>0</v>
      </c>
      <c r="I33" s="4">
        <f>'Base de données indicateurs1'!I46</f>
        <v>0</v>
      </c>
      <c r="J33" s="4">
        <f>'Base de données indicateurs1'!J46</f>
        <v>0</v>
      </c>
      <c r="K33" s="4">
        <f>'Base de données indicateurs1'!K46</f>
        <v>0</v>
      </c>
      <c r="L33" s="4">
        <f>'Base de données indicateurs1'!L46</f>
        <v>0</v>
      </c>
      <c r="M33" s="4">
        <f>'Base de données indicateurs1'!M46</f>
        <v>0</v>
      </c>
      <c r="N33" s="4">
        <f>'Base de données indicateurs1'!N46</f>
        <v>0</v>
      </c>
      <c r="O33" s="4">
        <f>'Base de données indicateurs1'!O46</f>
        <v>0</v>
      </c>
      <c r="P33" s="4">
        <f>'Base de données indicateurs1'!P46</f>
        <v>0</v>
      </c>
      <c r="Q33" s="4">
        <f>'Base de données indicateurs1'!Q46</f>
        <v>0</v>
      </c>
      <c r="R33" s="4">
        <f>'Base de données indicateurs1'!R46</f>
        <v>0</v>
      </c>
      <c r="S33" s="4">
        <f>'Base de données indicateurs1'!S46</f>
        <v>0</v>
      </c>
      <c r="T33" s="4">
        <f>'Base de données indicateurs1'!T46</f>
        <v>0</v>
      </c>
      <c r="U33" s="4">
        <f>'Base de données indicateurs1'!U46</f>
        <v>0</v>
      </c>
      <c r="V33" s="4">
        <f>'Base de données indicateurs1'!V46</f>
        <v>0</v>
      </c>
      <c r="W33" s="4">
        <f>'Base de données indicateurs1'!W46</f>
        <v>0</v>
      </c>
      <c r="X33" s="4">
        <f>'Base de données indicateurs1'!X46</f>
        <v>0</v>
      </c>
      <c r="Y33" s="4">
        <f>'Base de données indicateurs1'!Y46</f>
        <v>0</v>
      </c>
      <c r="Z33" s="4">
        <f>'Base de données indicateurs1'!Z46</f>
        <v>0</v>
      </c>
      <c r="AA33" s="4">
        <f>'Base de données indicateurs1'!AA46</f>
        <v>0</v>
      </c>
      <c r="AB33" s="4">
        <f>'Base de données indicateurs1'!AB46</f>
        <v>0</v>
      </c>
      <c r="AC33" s="4">
        <f>'Base de données indicateurs1'!AC46</f>
        <v>0</v>
      </c>
      <c r="AD33" s="4">
        <f>'Base de données indicateurs1'!AD46</f>
        <v>0</v>
      </c>
      <c r="AE33" s="4">
        <f>'Base de données indicateurs1'!AE46</f>
        <v>0</v>
      </c>
      <c r="AF33" s="4">
        <f>'Base de données indicateurs1'!AF46</f>
        <v>0</v>
      </c>
      <c r="AG33" s="4">
        <f>'Base de données indicateurs1'!AG46</f>
        <v>0</v>
      </c>
      <c r="AH33" s="4">
        <f>'Base de données indicateurs1'!AH46</f>
        <v>0</v>
      </c>
      <c r="AI33" s="4">
        <f>'Base de données indicateurs1'!AI46</f>
        <v>0</v>
      </c>
      <c r="AJ33" s="4">
        <f>'Base de données indicateurs1'!AJ46</f>
        <v>0</v>
      </c>
      <c r="AK33" s="4">
        <f>'Base de données indicateurs1'!AK46</f>
        <v>0</v>
      </c>
      <c r="AL33" s="4">
        <f>'Base de données indicateurs1'!AL46</f>
        <v>0</v>
      </c>
      <c r="AM33" s="4">
        <f>'Base de données indicateurs1'!AM46</f>
        <v>0</v>
      </c>
      <c r="AN33" s="4">
        <f>'Base de données indicateurs1'!AN46</f>
        <v>0</v>
      </c>
      <c r="AO33" s="4">
        <f>'Base de données indicateurs1'!AO46</f>
        <v>0</v>
      </c>
      <c r="AP33" s="4">
        <f>'Base de données indicateurs1'!AP46</f>
        <v>0</v>
      </c>
      <c r="AQ33" s="4">
        <f>'Base de données indicateurs1'!AQ46</f>
        <v>0</v>
      </c>
      <c r="AR33" s="4">
        <f>'Base de données indicateurs1'!AR46</f>
        <v>0</v>
      </c>
      <c r="AS33" s="4">
        <f>'Base de données indicateurs1'!AS46</f>
        <v>0</v>
      </c>
      <c r="AT33" s="4">
        <f>'Base de données indicateurs1'!AT46</f>
        <v>0</v>
      </c>
      <c r="AU33" s="4">
        <f>'Base de données indicateurs1'!AU46</f>
        <v>0</v>
      </c>
      <c r="AV33" s="4">
        <f>'Base de données indicateurs1'!AV46</f>
        <v>299999</v>
      </c>
      <c r="AW33" s="4">
        <f>'Base de données indicateurs1'!AW46</f>
        <v>0</v>
      </c>
      <c r="AX33" s="4">
        <f>'Base de données indicateurs1'!AX46</f>
        <v>0</v>
      </c>
      <c r="AY33" s="4">
        <f>'Base de données indicateurs1'!AY46</f>
        <v>0</v>
      </c>
      <c r="AZ33" s="4">
        <f>'Base de données indicateurs1'!AZ46</f>
        <v>0</v>
      </c>
      <c r="BA33" s="4">
        <f>'Base de données indicateurs1'!BA46</f>
        <v>0</v>
      </c>
      <c r="BB33" s="4">
        <f>'Base de données indicateurs1'!BB46</f>
        <v>0</v>
      </c>
      <c r="BC33" s="4">
        <f>'Base de données indicateurs1'!BC46</f>
        <v>0</v>
      </c>
      <c r="BD33" s="4">
        <f>'Base de données indicateurs1'!BD46</f>
        <v>0</v>
      </c>
      <c r="BE33" s="4">
        <f>'Base de données indicateurs1'!BE46</f>
        <v>0</v>
      </c>
      <c r="BF33" s="4">
        <f t="shared" si="0"/>
        <v>0</v>
      </c>
      <c r="BG33" s="4">
        <f t="shared" si="1"/>
        <v>0</v>
      </c>
      <c r="BH33" s="4">
        <f t="shared" si="2"/>
        <v>299999</v>
      </c>
    </row>
    <row r="34" spans="1:60" ht="15.75" hidden="1" thickBot="1" x14ac:dyDescent="0.3">
      <c r="B34" s="121"/>
      <c r="D34" s="4"/>
      <c r="BF34" s="4"/>
      <c r="BG34" s="4"/>
      <c r="BH34" s="4"/>
    </row>
    <row r="35" spans="1:60" ht="15.75" hidden="1" thickBot="1" x14ac:dyDescent="0.3">
      <c r="A35" s="7" t="s">
        <v>524</v>
      </c>
      <c r="B35" s="64"/>
      <c r="C35" s="7"/>
      <c r="D35" s="120">
        <f>SUM(D24:D26,D28:D31)-SUM(D27,D32:D33)</f>
        <v>22485634.750000007</v>
      </c>
      <c r="E35" s="144">
        <f>SUM(E24:E26,E28:E31)-SUM(E27,E32:E33)</f>
        <v>832459.83000000007</v>
      </c>
      <c r="F35" s="129">
        <f t="shared" ref="F35:BE35" si="6">SUM(F24:F26,F28:F31)-SUM(F27,F32:F33)</f>
        <v>205445.28</v>
      </c>
      <c r="G35" s="129">
        <f t="shared" si="6"/>
        <v>-61794.959999999992</v>
      </c>
      <c r="H35" s="129">
        <f t="shared" si="6"/>
        <v>189395.1</v>
      </c>
      <c r="I35" s="129">
        <f t="shared" si="6"/>
        <v>164.30999999999767</v>
      </c>
      <c r="J35" s="129">
        <f t="shared" si="6"/>
        <v>1876600.28</v>
      </c>
      <c r="K35" s="129">
        <f t="shared" si="6"/>
        <v>486979.09000000008</v>
      </c>
      <c r="L35" s="129">
        <f t="shared" si="6"/>
        <v>1468726.6999999997</v>
      </c>
      <c r="M35" s="129">
        <f t="shared" si="6"/>
        <v>45022.169999999991</v>
      </c>
      <c r="N35" s="129">
        <f t="shared" si="6"/>
        <v>0</v>
      </c>
      <c r="O35" s="129">
        <f t="shared" si="6"/>
        <v>-408267.07000000007</v>
      </c>
      <c r="P35" s="129">
        <f t="shared" si="6"/>
        <v>66001.91</v>
      </c>
      <c r="Q35" s="129">
        <f t="shared" si="6"/>
        <v>-73417.52</v>
      </c>
      <c r="R35" s="129">
        <f t="shared" si="6"/>
        <v>64471.42</v>
      </c>
      <c r="S35" s="129">
        <f t="shared" si="6"/>
        <v>54478.63</v>
      </c>
      <c r="T35" s="129">
        <f t="shared" si="6"/>
        <v>181886.19</v>
      </c>
      <c r="U35" s="129">
        <f t="shared" si="6"/>
        <v>31257.25</v>
      </c>
      <c r="V35" s="129">
        <f t="shared" si="6"/>
        <v>-3983.6100000000151</v>
      </c>
      <c r="W35" s="129">
        <f t="shared" si="6"/>
        <v>1099927.6200000001</v>
      </c>
      <c r="X35" s="129">
        <f t="shared" si="6"/>
        <v>151103</v>
      </c>
      <c r="Y35" s="129">
        <f t="shared" si="6"/>
        <v>308378.78000000003</v>
      </c>
      <c r="Z35" s="129">
        <f t="shared" si="6"/>
        <v>3612940.13</v>
      </c>
      <c r="AA35" s="129">
        <f t="shared" si="6"/>
        <v>44754.25</v>
      </c>
      <c r="AB35" s="129">
        <f t="shared" si="6"/>
        <v>-9198.24</v>
      </c>
      <c r="AC35" s="129">
        <f t="shared" si="6"/>
        <v>-278712.08999999997</v>
      </c>
      <c r="AD35" s="129">
        <f t="shared" si="6"/>
        <v>-199633.86</v>
      </c>
      <c r="AE35" s="129">
        <f t="shared" si="6"/>
        <v>-49418.240000000013</v>
      </c>
      <c r="AF35" s="129">
        <f t="shared" si="6"/>
        <v>460433.87</v>
      </c>
      <c r="AG35" s="129">
        <f t="shared" si="6"/>
        <v>1326940.22</v>
      </c>
      <c r="AH35" s="129">
        <f t="shared" si="6"/>
        <v>1154249</v>
      </c>
      <c r="AI35" s="129">
        <f t="shared" si="6"/>
        <v>199878</v>
      </c>
      <c r="AJ35" s="129">
        <f t="shared" si="6"/>
        <v>-34242.9</v>
      </c>
      <c r="AK35" s="129">
        <f t="shared" si="6"/>
        <v>78262.3</v>
      </c>
      <c r="AL35" s="129">
        <f t="shared" si="6"/>
        <v>351169</v>
      </c>
      <c r="AM35" s="129">
        <f t="shared" si="6"/>
        <v>74800</v>
      </c>
      <c r="AN35" s="129">
        <f t="shared" si="6"/>
        <v>33942.740000000005</v>
      </c>
      <c r="AO35" s="129">
        <f t="shared" si="6"/>
        <v>654861.09</v>
      </c>
      <c r="AP35" s="129">
        <f t="shared" si="6"/>
        <v>552003.74</v>
      </c>
      <c r="AQ35" s="129">
        <f t="shared" si="6"/>
        <v>300994</v>
      </c>
      <c r="AR35" s="129">
        <f t="shared" si="6"/>
        <v>754497.03999999992</v>
      </c>
      <c r="AS35" s="129">
        <f t="shared" si="6"/>
        <v>183781.52</v>
      </c>
      <c r="AT35" s="129">
        <f t="shared" si="6"/>
        <v>51568.060000000012</v>
      </c>
      <c r="AU35" s="129">
        <f t="shared" si="6"/>
        <v>1356568</v>
      </c>
      <c r="AV35" s="129">
        <f t="shared" si="6"/>
        <v>-824702.74</v>
      </c>
      <c r="AW35" s="129">
        <f t="shared" si="6"/>
        <v>41052.320000000007</v>
      </c>
      <c r="AX35" s="129">
        <f t="shared" si="6"/>
        <v>1414.0600000000013</v>
      </c>
      <c r="AY35" s="129">
        <f t="shared" si="6"/>
        <v>225632.85</v>
      </c>
      <c r="AZ35" s="129">
        <f t="shared" si="6"/>
        <v>670622.73</v>
      </c>
      <c r="BA35" s="129">
        <f t="shared" si="6"/>
        <v>253173.4</v>
      </c>
      <c r="BB35" s="129">
        <f t="shared" si="6"/>
        <v>769502.15</v>
      </c>
      <c r="BC35" s="129">
        <f t="shared" si="6"/>
        <v>10198.42</v>
      </c>
      <c r="BD35" s="129">
        <f t="shared" si="6"/>
        <v>4085388.59</v>
      </c>
      <c r="BE35" s="129">
        <f t="shared" si="6"/>
        <v>118080.94</v>
      </c>
      <c r="BF35" s="4">
        <f t="shared" si="0"/>
        <v>6055352.620000001</v>
      </c>
      <c r="BG35" s="4">
        <f t="shared" si="1"/>
        <v>6687471.9199999999</v>
      </c>
      <c r="BH35" s="4">
        <f t="shared" si="2"/>
        <v>9742810.209999999</v>
      </c>
    </row>
    <row r="36" spans="1:60" hidden="1" x14ac:dyDescent="0.25">
      <c r="B36" s="121"/>
      <c r="D36" s="4"/>
      <c r="BF36" s="4"/>
      <c r="BG36" s="4"/>
      <c r="BH36" s="4"/>
    </row>
    <row r="37" spans="1:60" hidden="1" x14ac:dyDescent="0.25">
      <c r="A37" s="111" t="s">
        <v>525</v>
      </c>
      <c r="B37" s="112" t="s">
        <v>231</v>
      </c>
      <c r="C37" s="111">
        <v>690</v>
      </c>
      <c r="D37" s="113">
        <f>'Base de données indicateurs1'!BF58</f>
        <v>36707355.689999998</v>
      </c>
      <c r="E37" s="4">
        <f>'Base de données indicateurs1'!E58</f>
        <v>593862.55000000005</v>
      </c>
      <c r="F37" s="4">
        <f>'Base de données indicateurs1'!F58</f>
        <v>5186.8500000000004</v>
      </c>
      <c r="G37" s="4">
        <f>'Base de données indicateurs1'!G58</f>
        <v>2700857.55</v>
      </c>
      <c r="H37" s="4">
        <f>'Base de données indicateurs1'!H58</f>
        <v>225335</v>
      </c>
      <c r="I37" s="4">
        <f>'Base de données indicateurs1'!I58</f>
        <v>2251481</v>
      </c>
      <c r="J37" s="4">
        <f>'Base de données indicateurs1'!J58</f>
        <v>2280577.79</v>
      </c>
      <c r="K37" s="4">
        <f>'Base de données indicateurs1'!K58</f>
        <v>1266529.24</v>
      </c>
      <c r="L37" s="4">
        <f>'Base de données indicateurs1'!L58</f>
        <v>10477858.529999999</v>
      </c>
      <c r="M37" s="4">
        <f>'Base de données indicateurs1'!M58</f>
        <v>184436.45</v>
      </c>
      <c r="N37" s="4">
        <f>'Base de données indicateurs1'!N58</f>
        <v>41267.75</v>
      </c>
      <c r="O37" s="4">
        <f>'Base de données indicateurs1'!O58</f>
        <v>2081646.1</v>
      </c>
      <c r="P37" s="4">
        <f>'Base de données indicateurs1'!P58</f>
        <v>175184.23</v>
      </c>
      <c r="Q37" s="4">
        <f>'Base de données indicateurs1'!Q58</f>
        <v>0</v>
      </c>
      <c r="R37" s="4">
        <f>'Base de données indicateurs1'!R58</f>
        <v>15814</v>
      </c>
      <c r="S37" s="4">
        <f>'Base de données indicateurs1'!S58</f>
        <v>171236.7</v>
      </c>
      <c r="T37" s="4">
        <f>'Base de données indicateurs1'!T58</f>
        <v>217977.15</v>
      </c>
      <c r="U37" s="4">
        <f>'Base de données indicateurs1'!U58</f>
        <v>82785</v>
      </c>
      <c r="V37" s="4">
        <v>217980.51</v>
      </c>
      <c r="W37" s="4">
        <f>'Base de données indicateurs1'!W58</f>
        <v>1022304.45</v>
      </c>
      <c r="X37" s="4">
        <f>'Base de données indicateurs1'!X58</f>
        <v>65578.350000000006</v>
      </c>
      <c r="Y37" s="4">
        <f>'Base de données indicateurs1'!Y58</f>
        <v>128183.25</v>
      </c>
      <c r="Z37" s="4">
        <f>'Base de données indicateurs1'!Z58</f>
        <v>503623.38</v>
      </c>
      <c r="AA37" s="4">
        <f>'Base de données indicateurs1'!AA58</f>
        <v>0</v>
      </c>
      <c r="AB37" s="4">
        <f>'Base de données indicateurs1'!AB58</f>
        <v>64645.15</v>
      </c>
      <c r="AC37" s="4">
        <f>'Base de données indicateurs1'!AC58</f>
        <v>100268.8</v>
      </c>
      <c r="AD37" s="4">
        <f>'Base de données indicateurs1'!AD58</f>
        <v>144435.91</v>
      </c>
      <c r="AE37" s="4">
        <f>'Base de données indicateurs1'!AE58</f>
        <v>40403.800000000003</v>
      </c>
      <c r="AF37" s="4">
        <f>'Base de données indicateurs1'!AF58</f>
        <v>727420.4</v>
      </c>
      <c r="AG37" s="4">
        <f>'Base de données indicateurs1'!AG58</f>
        <v>678259.1</v>
      </c>
      <c r="AH37" s="4">
        <f>'Base de données indicateurs1'!AH58</f>
        <v>347396.95</v>
      </c>
      <c r="AI37" s="4">
        <f>'Base de données indicateurs1'!AI58</f>
        <v>0</v>
      </c>
      <c r="AJ37" s="4">
        <f>'Base de données indicateurs1'!AJ58</f>
        <v>0</v>
      </c>
      <c r="AK37" s="4">
        <f>'Base de données indicateurs1'!AK58</f>
        <v>1969762.48</v>
      </c>
      <c r="AL37" s="4">
        <f>'Base de données indicateurs1'!AL58</f>
        <v>373870</v>
      </c>
      <c r="AM37" s="4">
        <f>'Base de données indicateurs1'!AM58</f>
        <v>293387.90000000002</v>
      </c>
      <c r="AN37" s="4">
        <f>'Base de données indicateurs1'!AN58</f>
        <v>612014</v>
      </c>
      <c r="AO37" s="4">
        <f>'Base de données indicateurs1'!AO58</f>
        <v>858933.3</v>
      </c>
      <c r="AP37" s="4">
        <f>'Base de données indicateurs1'!AP58</f>
        <v>387302.1</v>
      </c>
      <c r="AQ37" s="4">
        <f>'Base de données indicateurs1'!AQ58</f>
        <v>49042.1</v>
      </c>
      <c r="AR37" s="4">
        <f>'Base de données indicateurs1'!AR58</f>
        <v>449074.2</v>
      </c>
      <c r="AS37" s="4">
        <f>'Base de données indicateurs1'!AS58</f>
        <v>71436</v>
      </c>
      <c r="AT37" s="4">
        <f>'Base de données indicateurs1'!AT58</f>
        <v>236030.35</v>
      </c>
      <c r="AU37" s="4">
        <f>'Base de données indicateurs1'!AU58</f>
        <v>290607.3</v>
      </c>
      <c r="AV37" s="4">
        <f>'Base de données indicateurs1'!AV58</f>
        <v>617598.75</v>
      </c>
      <c r="AW37" s="4">
        <f>'Base de données indicateurs1'!AW58</f>
        <v>57242.400000000001</v>
      </c>
      <c r="AX37" s="4">
        <f>'Base de données indicateurs1'!AX58</f>
        <v>0</v>
      </c>
      <c r="AY37" s="4">
        <f>'Base de données indicateurs1'!AY58</f>
        <v>0</v>
      </c>
      <c r="AZ37" s="4">
        <f>'Base de données indicateurs1'!AZ58</f>
        <v>0</v>
      </c>
      <c r="BA37" s="4">
        <f>'Base de données indicateurs1'!BA58</f>
        <v>176794.95</v>
      </c>
      <c r="BB37" s="4">
        <f>'Base de données indicateurs1'!BB58</f>
        <v>374230.1</v>
      </c>
      <c r="BC37" s="4">
        <f>'Base de données indicateurs1'!BC58</f>
        <v>0</v>
      </c>
      <c r="BD37" s="4">
        <f>'Base de données indicateurs1'!BD58</f>
        <v>2976255.58</v>
      </c>
      <c r="BE37" s="4">
        <f>'Base de données indicateurs1'!BE58</f>
        <v>6219.65</v>
      </c>
      <c r="BF37" s="4">
        <f t="shared" si="0"/>
        <v>24012320.849999998</v>
      </c>
      <c r="BG37" s="4">
        <f t="shared" si="1"/>
        <v>2800215.0900000003</v>
      </c>
      <c r="BH37" s="4">
        <f t="shared" si="2"/>
        <v>9799801.1599999983</v>
      </c>
    </row>
    <row r="38" spans="1:60" hidden="1" x14ac:dyDescent="0.25">
      <c r="A38" s="114" t="s">
        <v>526</v>
      </c>
      <c r="B38" s="115" t="s">
        <v>232</v>
      </c>
      <c r="C38" s="114">
        <v>590</v>
      </c>
      <c r="D38" s="116">
        <f>'Base de données indicateurs1'!BF61</f>
        <v>10997864.249999998</v>
      </c>
      <c r="E38" s="4">
        <f>'Base de données indicateurs1'!E61</f>
        <v>0</v>
      </c>
      <c r="F38" s="4">
        <f>'Base de données indicateurs1'!F61</f>
        <v>219058.75</v>
      </c>
      <c r="G38" s="4">
        <f>'Base de données indicateurs1'!G61</f>
        <v>1004384.3</v>
      </c>
      <c r="H38" s="4">
        <f>'Base de données indicateurs1'!H61</f>
        <v>299151.65000000002</v>
      </c>
      <c r="I38" s="4">
        <f>'Base de données indicateurs1'!I61</f>
        <v>125435</v>
      </c>
      <c r="J38" s="4">
        <f>'Base de données indicateurs1'!J61</f>
        <v>751645.2</v>
      </c>
      <c r="K38" s="4">
        <f>'Base de données indicateurs1'!K61</f>
        <v>0</v>
      </c>
      <c r="L38" s="4">
        <f>'Base de données indicateurs1'!L61</f>
        <v>551165</v>
      </c>
      <c r="M38" s="4">
        <f>'Base de données indicateurs1'!M61</f>
        <v>0</v>
      </c>
      <c r="N38" s="4">
        <f>'Base de données indicateurs1'!N61</f>
        <v>0</v>
      </c>
      <c r="O38" s="4">
        <f>'Base de données indicateurs1'!O61</f>
        <v>301809.8</v>
      </c>
      <c r="P38" s="4">
        <f>'Base de données indicateurs1'!P61</f>
        <v>144165</v>
      </c>
      <c r="Q38" s="4">
        <f>'Base de données indicateurs1'!Q61</f>
        <v>0</v>
      </c>
      <c r="R38" s="4">
        <f>'Base de données indicateurs1'!R61</f>
        <v>0</v>
      </c>
      <c r="S38" s="4">
        <f>'Base de données indicateurs1'!S61</f>
        <v>0</v>
      </c>
      <c r="T38" s="4">
        <f>'Base de données indicateurs1'!T61</f>
        <v>0</v>
      </c>
      <c r="U38" s="4">
        <f>'Base de données indicateurs1'!U61</f>
        <v>16988</v>
      </c>
      <c r="V38" s="4">
        <v>312999.09999999998</v>
      </c>
      <c r="W38" s="4">
        <f>'Base de données indicateurs1'!W61</f>
        <v>698023</v>
      </c>
      <c r="X38" s="4">
        <f>'Base de données indicateurs1'!X61</f>
        <v>0</v>
      </c>
      <c r="Y38" s="4">
        <f>'Base de données indicateurs1'!Y61</f>
        <v>1165367.05</v>
      </c>
      <c r="Z38" s="4">
        <f>'Base de données indicateurs1'!Z61</f>
        <v>0</v>
      </c>
      <c r="AA38" s="4">
        <f>'Base de données indicateurs1'!AA61</f>
        <v>0</v>
      </c>
      <c r="AB38" s="4">
        <f>'Base de données indicateurs1'!AB61</f>
        <v>154625</v>
      </c>
      <c r="AC38" s="4">
        <f>'Base de données indicateurs1'!AC61</f>
        <v>7475</v>
      </c>
      <c r="AD38" s="4">
        <f>'Base de données indicateurs1'!AD61</f>
        <v>27972.93</v>
      </c>
      <c r="AE38" s="4">
        <f>'Base de données indicateurs1'!AE61</f>
        <v>0</v>
      </c>
      <c r="AF38" s="4">
        <f>'Base de données indicateurs1'!AF61</f>
        <v>471042</v>
      </c>
      <c r="AG38" s="4">
        <f>'Base de données indicateurs1'!AG61</f>
        <v>275505.7</v>
      </c>
      <c r="AH38" s="4">
        <f>'Base de données indicateurs1'!AH61</f>
        <v>514990.01</v>
      </c>
      <c r="AI38" s="4">
        <f>'Base de données indicateurs1'!AI61</f>
        <v>0</v>
      </c>
      <c r="AJ38" s="4">
        <f>'Base de données indicateurs1'!AJ61</f>
        <v>0</v>
      </c>
      <c r="AK38" s="4">
        <f>'Base de données indicateurs1'!AK61</f>
        <v>0</v>
      </c>
      <c r="AL38" s="4">
        <f>'Base de données indicateurs1'!AL61</f>
        <v>0</v>
      </c>
      <c r="AM38" s="4">
        <f>'Base de données indicateurs1'!AM61</f>
        <v>58854.55</v>
      </c>
      <c r="AN38" s="4">
        <f>'Base de données indicateurs1'!AN61</f>
        <v>49260</v>
      </c>
      <c r="AO38" s="4">
        <f>'Base de données indicateurs1'!AO61</f>
        <v>5797</v>
      </c>
      <c r="AP38" s="4">
        <f>'Base de données indicateurs1'!AP61</f>
        <v>200300</v>
      </c>
      <c r="AQ38" s="4">
        <f>'Base de données indicateurs1'!AQ61</f>
        <v>9656</v>
      </c>
      <c r="AR38" s="4">
        <f>'Base de données indicateurs1'!AR61</f>
        <v>76707.75</v>
      </c>
      <c r="AS38" s="4">
        <f>'Base de données indicateurs1'!AS61</f>
        <v>53516</v>
      </c>
      <c r="AT38" s="4">
        <f>'Base de données indicateurs1'!AT61</f>
        <v>141767.04999999999</v>
      </c>
      <c r="AU38" s="4">
        <f>'Base de données indicateurs1'!AU61</f>
        <v>98690</v>
      </c>
      <c r="AV38" s="4">
        <f>'Base de données indicateurs1'!AV61</f>
        <v>4462.55</v>
      </c>
      <c r="AW38" s="4">
        <f>'Base de données indicateurs1'!AW61</f>
        <v>8708</v>
      </c>
      <c r="AX38" s="4">
        <f>'Base de données indicateurs1'!AX61</f>
        <v>0</v>
      </c>
      <c r="AY38" s="4">
        <f>'Base de données indicateurs1'!AY61</f>
        <v>0</v>
      </c>
      <c r="AZ38" s="4">
        <f>'Base de données indicateurs1'!AZ61</f>
        <v>0</v>
      </c>
      <c r="BA38" s="4">
        <f>'Base de données indicateurs1'!BA61</f>
        <v>65550</v>
      </c>
      <c r="BB38" s="4">
        <f>'Base de données indicateurs1'!BB61</f>
        <v>24304.35</v>
      </c>
      <c r="BC38" s="4">
        <f>'Base de données indicateurs1'!BC61</f>
        <v>0</v>
      </c>
      <c r="BD38" s="4">
        <f>'Base de données indicateurs1'!BD61</f>
        <v>3253507.1</v>
      </c>
      <c r="BE38" s="4">
        <f>'Base de données indicateurs1'!BE61</f>
        <v>0</v>
      </c>
      <c r="BF38" s="4">
        <f t="shared" si="0"/>
        <v>4424824.8000000007</v>
      </c>
      <c r="BG38" s="4">
        <f t="shared" si="1"/>
        <v>2616977.6900000004</v>
      </c>
      <c r="BH38" s="4">
        <f t="shared" si="2"/>
        <v>4051080.35</v>
      </c>
    </row>
    <row r="39" spans="1:60" ht="15.75" hidden="1" thickBot="1" x14ac:dyDescent="0.3">
      <c r="B39" s="110"/>
      <c r="D39" s="4"/>
      <c r="BF39" s="4"/>
      <c r="BG39" s="4"/>
      <c r="BH39" s="4"/>
    </row>
    <row r="40" spans="1:60" ht="15.75" hidden="1" thickBot="1" x14ac:dyDescent="0.3">
      <c r="A40" s="7" t="s">
        <v>225</v>
      </c>
      <c r="B40" s="125"/>
      <c r="C40" s="7"/>
      <c r="D40" s="120">
        <f>D37-D38</f>
        <v>25709491.439999998</v>
      </c>
      <c r="E40" s="4">
        <f>E37-E38</f>
        <v>593862.55000000005</v>
      </c>
      <c r="F40" s="4">
        <f t="shared" ref="F40:BE40" si="7">F37-F38</f>
        <v>-213871.9</v>
      </c>
      <c r="G40" s="4">
        <f t="shared" si="7"/>
        <v>1696473.2499999998</v>
      </c>
      <c r="H40" s="4">
        <f t="shared" si="7"/>
        <v>-73816.650000000023</v>
      </c>
      <c r="I40" s="4">
        <f t="shared" si="7"/>
        <v>2126046</v>
      </c>
      <c r="J40" s="4">
        <f t="shared" si="7"/>
        <v>1528932.59</v>
      </c>
      <c r="K40" s="4">
        <f t="shared" si="7"/>
        <v>1266529.24</v>
      </c>
      <c r="L40" s="4">
        <f t="shared" si="7"/>
        <v>9926693.5299999993</v>
      </c>
      <c r="M40" s="4">
        <f t="shared" si="7"/>
        <v>184436.45</v>
      </c>
      <c r="N40" s="4">
        <f t="shared" si="7"/>
        <v>41267.75</v>
      </c>
      <c r="O40" s="4">
        <f t="shared" si="7"/>
        <v>1779836.3</v>
      </c>
      <c r="P40" s="4">
        <f t="shared" si="7"/>
        <v>31019.23000000001</v>
      </c>
      <c r="Q40" s="4">
        <f t="shared" si="7"/>
        <v>0</v>
      </c>
      <c r="R40" s="4">
        <f t="shared" si="7"/>
        <v>15814</v>
      </c>
      <c r="S40" s="4">
        <f t="shared" si="7"/>
        <v>171236.7</v>
      </c>
      <c r="T40" s="4">
        <f t="shared" si="7"/>
        <v>217977.15</v>
      </c>
      <c r="U40" s="4">
        <f t="shared" si="7"/>
        <v>65797</v>
      </c>
      <c r="V40" s="4">
        <f t="shared" si="7"/>
        <v>-95018.589999999967</v>
      </c>
      <c r="W40" s="4">
        <f t="shared" si="7"/>
        <v>324281.44999999995</v>
      </c>
      <c r="X40" s="4">
        <f t="shared" si="7"/>
        <v>65578.350000000006</v>
      </c>
      <c r="Y40" s="4">
        <f t="shared" si="7"/>
        <v>-1037183.8</v>
      </c>
      <c r="Z40" s="4">
        <f t="shared" si="7"/>
        <v>503623.38</v>
      </c>
      <c r="AA40" s="4">
        <f t="shared" si="7"/>
        <v>0</v>
      </c>
      <c r="AB40" s="4">
        <f t="shared" si="7"/>
        <v>-89979.85</v>
      </c>
      <c r="AC40" s="4">
        <f t="shared" si="7"/>
        <v>92793.8</v>
      </c>
      <c r="AD40" s="4">
        <f t="shared" si="7"/>
        <v>116462.98000000001</v>
      </c>
      <c r="AE40" s="4">
        <f t="shared" si="7"/>
        <v>40403.800000000003</v>
      </c>
      <c r="AF40" s="4">
        <f t="shared" si="7"/>
        <v>256378.40000000002</v>
      </c>
      <c r="AG40" s="4">
        <f t="shared" si="7"/>
        <v>402753.39999999997</v>
      </c>
      <c r="AH40" s="4">
        <f t="shared" si="7"/>
        <v>-167593.06</v>
      </c>
      <c r="AI40" s="4">
        <f t="shared" si="7"/>
        <v>0</v>
      </c>
      <c r="AJ40" s="4">
        <f t="shared" si="7"/>
        <v>0</v>
      </c>
      <c r="AK40" s="4">
        <f t="shared" si="7"/>
        <v>1969762.48</v>
      </c>
      <c r="AL40" s="4">
        <f t="shared" si="7"/>
        <v>373870</v>
      </c>
      <c r="AM40" s="4">
        <f t="shared" si="7"/>
        <v>234533.35000000003</v>
      </c>
      <c r="AN40" s="4">
        <f t="shared" si="7"/>
        <v>562754</v>
      </c>
      <c r="AO40" s="4">
        <f t="shared" si="7"/>
        <v>853136.3</v>
      </c>
      <c r="AP40" s="4">
        <f t="shared" si="7"/>
        <v>187002.09999999998</v>
      </c>
      <c r="AQ40" s="4">
        <f t="shared" si="7"/>
        <v>39386.1</v>
      </c>
      <c r="AR40" s="4">
        <f t="shared" si="7"/>
        <v>372366.45</v>
      </c>
      <c r="AS40" s="4">
        <f t="shared" si="7"/>
        <v>17920</v>
      </c>
      <c r="AT40" s="4">
        <f t="shared" si="7"/>
        <v>94263.300000000017</v>
      </c>
      <c r="AU40" s="4">
        <f t="shared" si="7"/>
        <v>191917.3</v>
      </c>
      <c r="AV40" s="4">
        <f t="shared" si="7"/>
        <v>613136.19999999995</v>
      </c>
      <c r="AW40" s="4">
        <f t="shared" si="7"/>
        <v>48534.400000000001</v>
      </c>
      <c r="AX40" s="4">
        <f t="shared" si="7"/>
        <v>0</v>
      </c>
      <c r="AY40" s="4">
        <f t="shared" si="7"/>
        <v>0</v>
      </c>
      <c r="AZ40" s="4">
        <f t="shared" si="7"/>
        <v>0</v>
      </c>
      <c r="BA40" s="4">
        <f t="shared" si="7"/>
        <v>111244.95000000001</v>
      </c>
      <c r="BB40" s="4">
        <f t="shared" si="7"/>
        <v>349925.75</v>
      </c>
      <c r="BC40" s="4">
        <f t="shared" si="7"/>
        <v>0</v>
      </c>
      <c r="BD40" s="4">
        <f t="shared" si="7"/>
        <v>-277251.52</v>
      </c>
      <c r="BE40" s="4">
        <f t="shared" si="7"/>
        <v>6219.65</v>
      </c>
      <c r="BF40" s="4">
        <f t="shared" si="0"/>
        <v>19587496.049999997</v>
      </c>
      <c r="BG40" s="4">
        <f t="shared" si="1"/>
        <v>183237.39999999997</v>
      </c>
      <c r="BH40" s="4">
        <f t="shared" si="2"/>
        <v>5748720.8100000005</v>
      </c>
    </row>
    <row r="41" spans="1:60" ht="15.75" hidden="1" thickBot="1" x14ac:dyDescent="0.3">
      <c r="B41" s="110"/>
      <c r="D41" s="4"/>
      <c r="BF41" s="4"/>
      <c r="BG41" s="4"/>
      <c r="BH41" s="4"/>
    </row>
    <row r="42" spans="1:60" ht="15.75" hidden="1" thickBot="1" x14ac:dyDescent="0.3">
      <c r="A42" s="7" t="s">
        <v>527</v>
      </c>
      <c r="B42" s="125"/>
      <c r="C42" s="7"/>
      <c r="D42" s="120">
        <f>IF(D40&lt;&gt;0,D35/D40,"")*100</f>
        <v>87.460441613465107</v>
      </c>
      <c r="E42" s="143">
        <f>IF(E40&lt;&gt;0,E35/E40,"")*100</f>
        <v>140.17718914924001</v>
      </c>
      <c r="F42" s="126">
        <f t="shared" ref="F42:BH42" si="8">IF(F40&lt;&gt;0,F35/F40,"")*100</f>
        <v>-96.059968607376661</v>
      </c>
      <c r="G42" s="126">
        <f t="shared" si="8"/>
        <v>-3.6425543403056899</v>
      </c>
      <c r="H42" s="126">
        <f t="shared" si="8"/>
        <v>-256.5750409968482</v>
      </c>
      <c r="I42" s="126">
        <f t="shared" si="8"/>
        <v>7.7284310875680804E-3</v>
      </c>
      <c r="J42" s="126">
        <f t="shared" si="8"/>
        <v>122.73924254567692</v>
      </c>
      <c r="K42" s="126">
        <f t="shared" si="8"/>
        <v>38.449889242193898</v>
      </c>
      <c r="L42" s="126">
        <f t="shared" si="8"/>
        <v>14.795729268374016</v>
      </c>
      <c r="M42" s="126">
        <f t="shared" si="8"/>
        <v>24.410668281676422</v>
      </c>
      <c r="N42" s="126">
        <f t="shared" si="8"/>
        <v>0</v>
      </c>
      <c r="O42" s="126">
        <f>IF(O40&lt;&gt;0,O35/O40,"")*100</f>
        <v>-22.938461812471182</v>
      </c>
      <c r="P42" s="126">
        <f t="shared" si="8"/>
        <v>212.77739647309096</v>
      </c>
      <c r="Q42" s="126" t="e">
        <f t="shared" si="8"/>
        <v>#VALUE!</v>
      </c>
      <c r="R42" s="126">
        <f t="shared" si="8"/>
        <v>407.68572151258377</v>
      </c>
      <c r="S42" s="126">
        <f t="shared" si="8"/>
        <v>31.814809558932168</v>
      </c>
      <c r="T42" s="126">
        <f t="shared" si="8"/>
        <v>83.4427782912108</v>
      </c>
      <c r="U42" s="126">
        <f t="shared" si="8"/>
        <v>47.505585361034697</v>
      </c>
      <c r="V42" s="126">
        <f t="shared" si="8"/>
        <v>4.19245328729885</v>
      </c>
      <c r="W42" s="126">
        <f t="shared" si="8"/>
        <v>339.18918889748409</v>
      </c>
      <c r="X42" s="126">
        <f t="shared" si="8"/>
        <v>230.41598332376464</v>
      </c>
      <c r="Y42" s="126">
        <f t="shared" si="8"/>
        <v>-29.73231745424485</v>
      </c>
      <c r="Z42" s="126">
        <f>IF(Z40&lt;&gt;0,Z35/Z40,"")*100</f>
        <v>717.38927807521566</v>
      </c>
      <c r="AA42" s="126" t="e">
        <f t="shared" si="8"/>
        <v>#VALUE!</v>
      </c>
      <c r="AB42" s="126">
        <f t="shared" si="8"/>
        <v>10.222555383233022</v>
      </c>
      <c r="AC42" s="126">
        <f t="shared" si="8"/>
        <v>-300.3563707920141</v>
      </c>
      <c r="AD42" s="126">
        <f t="shared" si="8"/>
        <v>-171.4140064078731</v>
      </c>
      <c r="AE42" s="126">
        <f t="shared" si="8"/>
        <v>-122.31087174968694</v>
      </c>
      <c r="AF42" s="126">
        <f t="shared" si="8"/>
        <v>179.59152175066228</v>
      </c>
      <c r="AG42" s="126">
        <f t="shared" si="8"/>
        <v>329.4671677507875</v>
      </c>
      <c r="AH42" s="126">
        <f t="shared" si="8"/>
        <v>-688.72123941170355</v>
      </c>
      <c r="AI42" s="126" t="e">
        <f t="shared" si="8"/>
        <v>#VALUE!</v>
      </c>
      <c r="AJ42" s="126" t="e">
        <f t="shared" si="8"/>
        <v>#VALUE!</v>
      </c>
      <c r="AK42" s="126">
        <f t="shared" si="8"/>
        <v>3.9731846247777045</v>
      </c>
      <c r="AL42" s="126">
        <f t="shared" si="8"/>
        <v>93.928103351432313</v>
      </c>
      <c r="AM42" s="126">
        <f t="shared" si="8"/>
        <v>31.893118825105255</v>
      </c>
      <c r="AN42" s="126">
        <f t="shared" si="8"/>
        <v>6.0315413129004867</v>
      </c>
      <c r="AO42" s="126">
        <f t="shared" si="8"/>
        <v>76.759257577013187</v>
      </c>
      <c r="AP42" s="126">
        <f t="shared" si="8"/>
        <v>295.18585085408137</v>
      </c>
      <c r="AQ42" s="126">
        <f t="shared" si="8"/>
        <v>764.21377084809114</v>
      </c>
      <c r="AR42" s="126">
        <f t="shared" si="8"/>
        <v>202.6221857527712</v>
      </c>
      <c r="AS42" s="126">
        <f t="shared" si="8"/>
        <v>1025.5665178571428</v>
      </c>
      <c r="AT42" s="126">
        <f t="shared" si="8"/>
        <v>54.706402173486403</v>
      </c>
      <c r="AU42" s="126">
        <f t="shared" si="8"/>
        <v>706.85029437158619</v>
      </c>
      <c r="AV42" s="126">
        <f t="shared" si="8"/>
        <v>-134.50563512642054</v>
      </c>
      <c r="AW42" s="126">
        <f t="shared" si="8"/>
        <v>84.583965187578301</v>
      </c>
      <c r="AX42" s="126" t="e">
        <f t="shared" si="8"/>
        <v>#VALUE!</v>
      </c>
      <c r="AY42" s="126" t="e">
        <f t="shared" si="8"/>
        <v>#VALUE!</v>
      </c>
      <c r="AZ42" s="126" t="e">
        <f t="shared" si="8"/>
        <v>#VALUE!</v>
      </c>
      <c r="BA42" s="126">
        <f t="shared" si="8"/>
        <v>227.58192619080683</v>
      </c>
      <c r="BB42" s="126">
        <f t="shared" si="8"/>
        <v>219.90440829233057</v>
      </c>
      <c r="BC42" s="126" t="e">
        <f t="shared" si="8"/>
        <v>#VALUE!</v>
      </c>
      <c r="BD42" s="126">
        <f t="shared" si="8"/>
        <v>-1473.5315391598212</v>
      </c>
      <c r="BE42" s="126">
        <f t="shared" si="8"/>
        <v>1898.5142250769741</v>
      </c>
      <c r="BF42" s="126">
        <f t="shared" si="8"/>
        <v>30.914378257143294</v>
      </c>
      <c r="BG42" s="126">
        <f t="shared" si="8"/>
        <v>3649.621703866133</v>
      </c>
      <c r="BH42" s="126">
        <f t="shared" si="8"/>
        <v>169.47788094096012</v>
      </c>
    </row>
    <row r="43" spans="1:60" hidden="1" x14ac:dyDescent="0.25">
      <c r="A43" s="123" t="s">
        <v>528</v>
      </c>
      <c r="B43" s="110"/>
    </row>
    <row r="44" spans="1:60" hidden="1" x14ac:dyDescent="0.25">
      <c r="B44" s="110"/>
    </row>
    <row r="45" spans="1:60" hidden="1" x14ac:dyDescent="0.25"/>
    <row r="46" spans="1:60" hidden="1" x14ac:dyDescent="0.25"/>
    <row r="47" spans="1:60" hidden="1" x14ac:dyDescent="0.25"/>
    <row r="48" spans="1:60" hidden="1" x14ac:dyDescent="0.25"/>
  </sheetData>
  <mergeCells count="1">
    <mergeCell ref="A2:D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6"/>
    </row>
    <row r="8" spans="1:60" ht="18.75" x14ac:dyDescent="0.3">
      <c r="A8" s="190" t="s">
        <v>505</v>
      </c>
      <c r="B8" s="190"/>
      <c r="C8" s="190"/>
      <c r="D8" s="190"/>
    </row>
    <row r="10" spans="1:60" x14ac:dyDescent="0.25">
      <c r="A10" s="7" t="s">
        <v>529</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52">
        <f>'4.1 Comptes 2020 natures'!BG2</f>
        <v>38954</v>
      </c>
      <c r="BG10" s="152">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4">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4">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4">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1"/>
      <c r="BF37" s="4"/>
      <c r="BG37" s="4"/>
      <c r="BH37" s="4"/>
    </row>
    <row r="38" spans="1:60" ht="15.75" thickBot="1" x14ac:dyDescent="0.3">
      <c r="A38" s="7" t="s">
        <v>532</v>
      </c>
      <c r="B38" s="125"/>
      <c r="C38" s="7"/>
      <c r="D38" s="120">
        <f>D23</f>
        <v>211051448.30999997</v>
      </c>
      <c r="E38" s="144">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1"/>
      <c r="BF39" s="4"/>
      <c r="BG39" s="4"/>
      <c r="BH39" s="4"/>
    </row>
    <row r="40" spans="1:60" ht="15.75" thickBot="1" x14ac:dyDescent="0.3">
      <c r="A40" s="7" t="s">
        <v>537</v>
      </c>
      <c r="B40" s="125"/>
      <c r="C40" s="7"/>
      <c r="D40" s="120">
        <f>IF(D38&lt;&gt;0,D36/D38,"")*100</f>
        <v>255.25284918619286</v>
      </c>
      <c r="E40" s="144">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4">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4">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4">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1">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4">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2">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4">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'7.1 Quotient endettement net'!D35</f>
        <v>22485634.750000007</v>
      </c>
      <c r="E24" s="4">
        <f>'7.1 Quotient endettement net'!E35</f>
        <v>832459.83000000007</v>
      </c>
      <c r="F24" s="4">
        <f>'7.1 Quotient endettement net'!F35</f>
        <v>205445.28</v>
      </c>
      <c r="G24" s="4">
        <f>'7.1 Quotient endettement net'!G35</f>
        <v>-61794.959999999992</v>
      </c>
      <c r="H24" s="4">
        <f>'7.1 Quotient endettement net'!H35</f>
        <v>189395.1</v>
      </c>
      <c r="I24" s="4">
        <f>'7.1 Quotient endettement net'!I35</f>
        <v>164.30999999999767</v>
      </c>
      <c r="J24" s="4">
        <f>'7.1 Quotient endettement net'!J35</f>
        <v>1876600.28</v>
      </c>
      <c r="K24" s="4">
        <f>'7.1 Quotient endettement net'!K35</f>
        <v>486979.09000000008</v>
      </c>
      <c r="L24" s="4">
        <f>'7.1 Quotient endettement net'!L35</f>
        <v>1468726.6999999997</v>
      </c>
      <c r="M24" s="4">
        <f>'7.1 Quotient endettement net'!M35</f>
        <v>45022.169999999991</v>
      </c>
      <c r="N24" s="4">
        <f>'7.1 Quotient endettement net'!N35</f>
        <v>0</v>
      </c>
      <c r="O24" s="4">
        <f>'7.1 Quotient endettement net'!O35</f>
        <v>-408267.07000000007</v>
      </c>
      <c r="P24" s="4">
        <f>'7.1 Quotient endettement net'!P35</f>
        <v>66001.91</v>
      </c>
      <c r="Q24" s="4">
        <f>'7.1 Quotient endettement net'!Q35</f>
        <v>-73417.52</v>
      </c>
      <c r="R24" s="4">
        <f>'7.1 Quotient endettement net'!R35</f>
        <v>64471.42</v>
      </c>
      <c r="S24" s="4">
        <f>'7.1 Quotient endettement net'!S35</f>
        <v>54478.63</v>
      </c>
      <c r="T24" s="4">
        <f>'7.1 Quotient endettement net'!T35</f>
        <v>181886.19</v>
      </c>
      <c r="U24" s="4">
        <f>'7.1 Quotient endettement net'!U35</f>
        <v>31257.25</v>
      </c>
      <c r="V24" s="4">
        <f>'7.1 Quotient endettement net'!V35</f>
        <v>-3983.6100000000151</v>
      </c>
      <c r="W24" s="4">
        <f>'7.1 Quotient endettement net'!W35</f>
        <v>1099927.6200000001</v>
      </c>
      <c r="X24" s="4">
        <f>'7.1 Quotient endettement net'!X35</f>
        <v>151103</v>
      </c>
      <c r="Y24" s="4">
        <f>'7.1 Quotient endettement net'!Y35</f>
        <v>308378.78000000003</v>
      </c>
      <c r="Z24" s="4">
        <f>'7.1 Quotient endettement net'!Z35</f>
        <v>3612940.13</v>
      </c>
      <c r="AA24" s="4">
        <f>'7.1 Quotient endettement net'!AA35</f>
        <v>44754.25</v>
      </c>
      <c r="AB24" s="4">
        <f>'7.1 Quotient endettement net'!AB35</f>
        <v>-9198.24</v>
      </c>
      <c r="AC24" s="4">
        <f>'7.1 Quotient endettement net'!AC35</f>
        <v>-278712.08999999997</v>
      </c>
      <c r="AD24" s="4">
        <f>'7.1 Quotient endettement net'!AD35</f>
        <v>-199633.86</v>
      </c>
      <c r="AE24" s="4">
        <f>'7.1 Quotient endettement net'!AE35</f>
        <v>-49418.240000000013</v>
      </c>
      <c r="AF24" s="4">
        <f>'7.1 Quotient endettement net'!AF35</f>
        <v>460433.87</v>
      </c>
      <c r="AG24" s="4">
        <f>'7.1 Quotient endettement net'!AG35</f>
        <v>1326940.22</v>
      </c>
      <c r="AH24" s="4">
        <f>'7.1 Quotient endettement net'!AH35</f>
        <v>1154249</v>
      </c>
      <c r="AI24" s="4">
        <f>'7.1 Quotient endettement net'!AI35</f>
        <v>199878</v>
      </c>
      <c r="AJ24" s="4">
        <f>'7.1 Quotient endettement net'!AJ35</f>
        <v>-34242.9</v>
      </c>
      <c r="AK24" s="4">
        <f>'7.1 Quotient endettement net'!AK35</f>
        <v>78262.3</v>
      </c>
      <c r="AL24" s="4">
        <f>'7.1 Quotient endettement net'!AL35</f>
        <v>351169</v>
      </c>
      <c r="AM24" s="4">
        <f>'7.1 Quotient endettement net'!AM35</f>
        <v>74800</v>
      </c>
      <c r="AN24" s="4">
        <f>'7.1 Quotient endettement net'!AN35</f>
        <v>33942.740000000005</v>
      </c>
      <c r="AO24" s="4">
        <f>'7.1 Quotient endettement net'!AO35</f>
        <v>654861.09</v>
      </c>
      <c r="AP24" s="4">
        <f>'7.1 Quotient endettement net'!AP35</f>
        <v>552003.74</v>
      </c>
      <c r="AQ24" s="4">
        <f>'7.1 Quotient endettement net'!AQ35</f>
        <v>300994</v>
      </c>
      <c r="AR24" s="4">
        <f>'7.1 Quotient endettement net'!AR35</f>
        <v>754497.03999999992</v>
      </c>
      <c r="AS24" s="4">
        <f>'7.1 Quotient endettement net'!AS35</f>
        <v>183781.52</v>
      </c>
      <c r="AT24" s="4">
        <f>'7.1 Quotient endettement net'!AT35</f>
        <v>51568.060000000012</v>
      </c>
      <c r="AU24" s="4">
        <f>'7.1 Quotient endettement net'!AU35</f>
        <v>1356568</v>
      </c>
      <c r="AV24" s="4">
        <f>'7.1 Quotient endettement net'!AV35</f>
        <v>-824702.74</v>
      </c>
      <c r="AW24" s="4">
        <f>'7.1 Quotient endettement net'!AW35</f>
        <v>41052.320000000007</v>
      </c>
      <c r="AX24" s="4">
        <f>'7.1 Quotient endettement net'!AX35</f>
        <v>1414.0600000000013</v>
      </c>
      <c r="AY24" s="4">
        <f>'7.1 Quotient endettement net'!AY35</f>
        <v>225632.85</v>
      </c>
      <c r="AZ24" s="4">
        <f>'7.1 Quotient endettement net'!AZ35</f>
        <v>670622.73</v>
      </c>
      <c r="BA24" s="4">
        <f>'7.1 Quotient endettement net'!BA35</f>
        <v>253173.4</v>
      </c>
      <c r="BB24" s="4">
        <f>'7.1 Quotient endettement net'!BB35</f>
        <v>769502.15</v>
      </c>
      <c r="BC24" s="4">
        <f>'7.1 Quotient endettement net'!BC35</f>
        <v>10198.42</v>
      </c>
      <c r="BD24" s="4">
        <f>'7.1 Quotient endettement net'!BD35</f>
        <v>4085388.59</v>
      </c>
      <c r="BE24" s="4">
        <f>'7.1 Quotient endettement net'!BE35</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4">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4">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4">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4">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'7.1 Quotient endettement net'!D16</f>
        <v>211406984.43999997</v>
      </c>
      <c r="E16" s="4">
        <f>'7.1 Quotient endettement net'!E16</f>
        <v>2679156.35</v>
      </c>
      <c r="F16" s="4">
        <f>'7.1 Quotient endettement net'!F16</f>
        <v>761433.55</v>
      </c>
      <c r="G16" s="4">
        <f>'7.1 Quotient endettement net'!G16</f>
        <v>1109177.2</v>
      </c>
      <c r="H16" s="4">
        <f>'7.1 Quotient endettement net'!H16</f>
        <v>1118817.55</v>
      </c>
      <c r="I16" s="4">
        <f>'7.1 Quotient endettement net'!I16</f>
        <v>8082673</v>
      </c>
      <c r="J16" s="4">
        <f>'7.1 Quotient endettement net'!J16</f>
        <v>8968083.9499999993</v>
      </c>
      <c r="K16" s="4">
        <f>'7.1 Quotient endettement net'!K16</f>
        <v>6309847.4500000002</v>
      </c>
      <c r="L16" s="4">
        <f>'7.1 Quotient endettement net'!L16</f>
        <v>34244003.050000004</v>
      </c>
      <c r="M16" s="4">
        <f>'7.1 Quotient endettement net'!M16</f>
        <v>3189304.04</v>
      </c>
      <c r="N16" s="4">
        <f>'7.1 Quotient endettement net'!N16</f>
        <v>0</v>
      </c>
      <c r="O16" s="4">
        <f>'7.1 Quotient endettement net'!O16</f>
        <v>15819575.6</v>
      </c>
      <c r="P16" s="4">
        <f>'7.1 Quotient endettement net'!P16</f>
        <v>1337760.75</v>
      </c>
      <c r="Q16" s="4">
        <f>'7.1 Quotient endettement net'!Q16</f>
        <v>206570.5</v>
      </c>
      <c r="R16" s="4">
        <f>'7.1 Quotient endettement net'!R16</f>
        <v>1023276.4</v>
      </c>
      <c r="S16" s="4">
        <f>'7.1 Quotient endettement net'!S16</f>
        <v>773740.7</v>
      </c>
      <c r="T16" s="4">
        <f>'7.1 Quotient endettement net'!T16</f>
        <v>1796029.05</v>
      </c>
      <c r="U16" s="4">
        <f>'7.1 Quotient endettement net'!U16</f>
        <v>648470.65</v>
      </c>
      <c r="V16" s="4">
        <f>'7.1 Quotient endettement net'!V16</f>
        <v>1249422.5999999999</v>
      </c>
      <c r="W16" s="4">
        <f>'7.1 Quotient endettement net'!W16</f>
        <v>8015454.4500000002</v>
      </c>
      <c r="X16" s="4">
        <f>'7.1 Quotient endettement net'!X16</f>
        <v>759022</v>
      </c>
      <c r="Y16" s="4">
        <f>'7.1 Quotient endettement net'!Y16</f>
        <v>3508308.62</v>
      </c>
      <c r="Z16" s="4">
        <f>'7.1 Quotient endettement net'!Z16</f>
        <v>7040802.8500000015</v>
      </c>
      <c r="AA16" s="4">
        <f>'7.1 Quotient endettement net'!AA16</f>
        <v>250196</v>
      </c>
      <c r="AB16" s="4">
        <f>'7.1 Quotient endettement net'!AB16</f>
        <v>317299.59999999998</v>
      </c>
      <c r="AC16" s="4">
        <f>'7.1 Quotient endettement net'!AC16</f>
        <v>1091034.3500000001</v>
      </c>
      <c r="AD16" s="4">
        <f>'7.1 Quotient endettement net'!AD16</f>
        <v>1422131.5</v>
      </c>
      <c r="AE16" s="4">
        <f>'7.1 Quotient endettement net'!AE16</f>
        <v>1312098.05</v>
      </c>
      <c r="AF16" s="4">
        <f>'7.1 Quotient endettement net'!AF16</f>
        <v>1736762.2</v>
      </c>
      <c r="AG16" s="4">
        <f>'7.1 Quotient endettement net'!AG16</f>
        <v>5757562.6500000004</v>
      </c>
      <c r="AH16" s="4">
        <f>'7.1 Quotient endettement net'!AH16</f>
        <v>6969940</v>
      </c>
      <c r="AI16" s="4">
        <f>'7.1 Quotient endettement net'!AI16</f>
        <v>683290</v>
      </c>
      <c r="AJ16" s="4">
        <f>'7.1 Quotient endettement net'!AJ16</f>
        <v>303088.05</v>
      </c>
      <c r="AK16" s="4">
        <f>'7.1 Quotient endettement net'!AK16</f>
        <v>5063974.8499999996</v>
      </c>
      <c r="AL16" s="4">
        <f>'7.1 Quotient endettement net'!AL16</f>
        <v>2329580</v>
      </c>
      <c r="AM16" s="4">
        <f>'7.1 Quotient endettement net'!AM16</f>
        <v>3025562.7</v>
      </c>
      <c r="AN16" s="4">
        <f>'7.1 Quotient endettement net'!AN16</f>
        <v>329489.84999999998</v>
      </c>
      <c r="AO16" s="4">
        <f>'7.1 Quotient endettement net'!AO16</f>
        <v>4632408.0999999996</v>
      </c>
      <c r="AP16" s="4">
        <f>'7.1 Quotient endettement net'!AP16</f>
        <v>1812819.3</v>
      </c>
      <c r="AQ16" s="4">
        <f>'7.1 Quotient endettement net'!AQ16</f>
        <v>1746166</v>
      </c>
      <c r="AR16" s="4">
        <f>'7.1 Quotient endettement net'!AR16</f>
        <v>3200257.4499999997</v>
      </c>
      <c r="AS16" s="4">
        <f>'7.1 Quotient endettement net'!AS16</f>
        <v>1654606.9500000002</v>
      </c>
      <c r="AT16" s="4">
        <f>'7.1 Quotient endettement net'!AT16</f>
        <v>2357594.75</v>
      </c>
      <c r="AU16" s="4">
        <f>'7.1 Quotient endettement net'!AU16</f>
        <v>2024111.5</v>
      </c>
      <c r="AV16" s="4">
        <f>'7.1 Quotient endettement net'!AV16</f>
        <v>5125075.43</v>
      </c>
      <c r="AW16" s="4">
        <f>'7.1 Quotient endettement net'!AW16</f>
        <v>1935955.15</v>
      </c>
      <c r="AX16" s="4">
        <f>'7.1 Quotient endettement net'!AX16</f>
        <v>487333.4</v>
      </c>
      <c r="AY16" s="4">
        <f>'7.1 Quotient endettement net'!AY16</f>
        <v>1053328.7</v>
      </c>
      <c r="AZ16" s="4">
        <f>'7.1 Quotient endettement net'!AZ16</f>
        <v>4972694.55</v>
      </c>
      <c r="BA16" s="4">
        <f>'7.1 Quotient endettement net'!BA16</f>
        <v>1115545.7</v>
      </c>
      <c r="BB16" s="4">
        <f>'7.1 Quotient endettement net'!BB16</f>
        <v>3134407.95</v>
      </c>
      <c r="BC16" s="4">
        <f>'7.1 Quotient endettement net'!BC16</f>
        <v>401054.25</v>
      </c>
      <c r="BD16" s="4">
        <f>'7.1 Quotient endettement net'!BD16</f>
        <v>22203417.350000001</v>
      </c>
      <c r="BE16" s="4">
        <f>'7.1 Quotient endettement net'!BE16</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4">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6">
        <f>'4.1 Comptes 2020 natures'!E2</f>
        <v>923</v>
      </c>
      <c r="F11" s="146">
        <f>'4.1 Comptes 2020 natures'!F2</f>
        <v>270</v>
      </c>
      <c r="G11" s="146">
        <f>'4.1 Comptes 2020 natures'!G2</f>
        <v>485</v>
      </c>
      <c r="H11" s="146">
        <f>'4.1 Comptes 2020 natures'!H2</f>
        <v>446</v>
      </c>
      <c r="I11" s="146">
        <f>'4.1 Comptes 2020 natures'!I2</f>
        <v>3631</v>
      </c>
      <c r="J11" s="146">
        <f>'4.1 Comptes 2020 natures'!J2</f>
        <v>3313</v>
      </c>
      <c r="K11" s="146">
        <f>'4.1 Comptes 2020 natures'!K2</f>
        <v>2644</v>
      </c>
      <c r="L11" s="147">
        <f>'4.1 Comptes 2020 natures'!L2</f>
        <v>12618</v>
      </c>
      <c r="M11" s="147">
        <f>'4.1 Comptes 2020 natures'!M2</f>
        <v>1371</v>
      </c>
      <c r="N11" s="147">
        <f>'4.1 Comptes 2020 natures'!N2</f>
        <v>118</v>
      </c>
      <c r="O11" s="147">
        <f>'4.1 Comptes 2020 natures'!O2</f>
        <v>7167</v>
      </c>
      <c r="P11" s="147">
        <f>'4.1 Comptes 2020 natures'!P2</f>
        <v>528</v>
      </c>
      <c r="Q11" s="147">
        <f>'4.1 Comptes 2020 natures'!Q2</f>
        <v>108</v>
      </c>
      <c r="R11" s="147">
        <f>'4.1 Comptes 2020 natures'!R2</f>
        <v>415</v>
      </c>
      <c r="S11" s="147">
        <f>'4.1 Comptes 2020 natures'!S2</f>
        <v>349</v>
      </c>
      <c r="T11" s="147">
        <f>'4.1 Comptes 2020 natures'!T2</f>
        <v>687</v>
      </c>
      <c r="U11" s="147">
        <f>'4.1 Comptes 2020 natures'!U2</f>
        <v>255</v>
      </c>
      <c r="V11" s="147">
        <f>'4.1 Comptes 2020 natures'!V2</f>
        <v>436</v>
      </c>
      <c r="W11" s="147">
        <f>'4.1 Comptes 2020 natures'!W2</f>
        <v>3190</v>
      </c>
      <c r="X11" s="148">
        <f>'4.1 Comptes 2020 natures'!X2</f>
        <v>324</v>
      </c>
      <c r="Y11" s="148">
        <f>'4.1 Comptes 2020 natures'!Y2</f>
        <v>1246</v>
      </c>
      <c r="Z11" s="148">
        <f>'4.1 Comptes 2020 natures'!Z2</f>
        <v>1528</v>
      </c>
      <c r="AA11" s="148">
        <f>'4.1 Comptes 2020 natures'!AA2</f>
        <v>96</v>
      </c>
      <c r="AB11" s="148">
        <f>'4.1 Comptes 2020 natures'!AB2</f>
        <v>149</v>
      </c>
      <c r="AC11" s="148">
        <f>'4.1 Comptes 2020 natures'!AC2</f>
        <v>516</v>
      </c>
      <c r="AD11" s="148">
        <f>'4.1 Comptes 2020 natures'!AD2</f>
        <v>671</v>
      </c>
      <c r="AE11" s="148">
        <f>'4.1 Comptes 2020 natures'!AE2</f>
        <v>572</v>
      </c>
      <c r="AF11" s="148">
        <f>'4.1 Comptes 2020 natures'!AF2</f>
        <v>490</v>
      </c>
      <c r="AG11" s="148">
        <f>'4.1 Comptes 2020 natures'!AG2</f>
        <v>1914</v>
      </c>
      <c r="AH11" s="148">
        <f>'4.1 Comptes 2020 natures'!AH2</f>
        <v>2615</v>
      </c>
      <c r="AI11" s="148">
        <f>'4.1 Comptes 2020 natures'!AI2</f>
        <v>227</v>
      </c>
      <c r="AJ11" s="148">
        <f>'4.1 Comptes 2020 natures'!AJ2</f>
        <v>131</v>
      </c>
      <c r="AK11" s="149">
        <f>'4.1 Comptes 2020 natures'!AK2</f>
        <v>1895</v>
      </c>
      <c r="AL11" s="149">
        <f>'4.1 Comptes 2020 natures'!AL2</f>
        <v>1135</v>
      </c>
      <c r="AM11" s="149">
        <f>'4.1 Comptes 2020 natures'!AM2</f>
        <v>1241</v>
      </c>
      <c r="AN11" s="149">
        <f>'4.1 Comptes 2020 natures'!AN2</f>
        <v>119</v>
      </c>
      <c r="AO11" s="149">
        <f>'4.1 Comptes 2020 natures'!AO2</f>
        <v>1195</v>
      </c>
      <c r="AP11" s="149">
        <f>'4.1 Comptes 2020 natures'!AP2</f>
        <v>663</v>
      </c>
      <c r="AQ11" s="149">
        <f>'4.1 Comptes 2020 natures'!AQ2</f>
        <v>645</v>
      </c>
      <c r="AR11" s="149">
        <f>'4.1 Comptes 2020 natures'!AR2</f>
        <v>1263</v>
      </c>
      <c r="AS11" s="149">
        <f>'4.1 Comptes 2020 natures'!AS2</f>
        <v>740</v>
      </c>
      <c r="AT11" s="149">
        <f>'4.1 Comptes 2020 natures'!AT2</f>
        <v>1028</v>
      </c>
      <c r="AU11" s="149">
        <f>'4.1 Comptes 2020 natures'!AU2</f>
        <v>314</v>
      </c>
      <c r="AV11" s="149">
        <f>'4.1 Comptes 2020 natures'!AV2</f>
        <v>2400</v>
      </c>
      <c r="AW11" s="149">
        <f>'4.1 Comptes 2020 natures'!AW2</f>
        <v>755</v>
      </c>
      <c r="AX11" s="149">
        <f>'4.1 Comptes 2020 natures'!AX2</f>
        <v>181</v>
      </c>
      <c r="AY11" s="149">
        <f>'4.1 Comptes 2020 natures'!AY2</f>
        <v>347</v>
      </c>
      <c r="AZ11" s="149">
        <f>'4.1 Comptes 2020 natures'!AZ2</f>
        <v>1690</v>
      </c>
      <c r="BA11" s="149">
        <f>'4.1 Comptes 2020 natures'!BA2</f>
        <v>387</v>
      </c>
      <c r="BB11" s="149">
        <f>'4.1 Comptes 2020 natures'!BB2</f>
        <v>1096</v>
      </c>
      <c r="BC11" s="150">
        <f>'4.1 Comptes 2020 natures'!BC2</f>
        <v>188</v>
      </c>
      <c r="BD11" s="150">
        <f>'4.1 Comptes 2020 natures'!BD2</f>
        <v>6434</v>
      </c>
      <c r="BE11" s="149">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'7.1 Quotient endettement net'!D9</f>
        <v>247940459.12999958</v>
      </c>
      <c r="E17" s="4">
        <f>'7.1 Quotient endettement net'!E9</f>
        <v>1981542.2999999998</v>
      </c>
      <c r="F17" s="4">
        <f>'7.1 Quotient endettement net'!F9</f>
        <v>347500.05000000005</v>
      </c>
      <c r="G17" s="4">
        <f>'7.1 Quotient endettement net'!G9</f>
        <v>2113085.3899999997</v>
      </c>
      <c r="H17" s="4">
        <f>'7.1 Quotient endettement net'!H9</f>
        <v>333820.88000000082</v>
      </c>
      <c r="I17" s="4">
        <f>'7.1 Quotient endettement net'!I9</f>
        <v>11170167</v>
      </c>
      <c r="J17" s="4">
        <f>'7.1 Quotient endettement net'!J9</f>
        <v>13112482.930000002</v>
      </c>
      <c r="K17" s="4">
        <f>'7.1 Quotient endettement net'!K9</f>
        <v>1024849.9699999988</v>
      </c>
      <c r="L17" s="4">
        <f>'7.1 Quotient endettement net'!L9</f>
        <v>70522811.370000005</v>
      </c>
      <c r="M17" s="4">
        <f>'7.1 Quotient endettement net'!M9</f>
        <v>2124903.9499999997</v>
      </c>
      <c r="N17" s="4">
        <f>'7.1 Quotient endettement net'!N9</f>
        <v>0</v>
      </c>
      <c r="O17" s="4">
        <f>'7.1 Quotient endettement net'!O9</f>
        <v>21593781.700000003</v>
      </c>
      <c r="P17" s="4">
        <f>'7.1 Quotient endettement net'!P9</f>
        <v>1367293.8899999997</v>
      </c>
      <c r="Q17" s="4">
        <f>'7.1 Quotient endettement net'!Q9</f>
        <v>245034.5</v>
      </c>
      <c r="R17" s="4">
        <f>'7.1 Quotient endettement net'!R9</f>
        <v>1875498.62</v>
      </c>
      <c r="S17" s="4">
        <f>'7.1 Quotient endettement net'!S9</f>
        <v>2154227.6300000004</v>
      </c>
      <c r="T17" s="4">
        <f>'7.1 Quotient endettement net'!T9</f>
        <v>212642.52999999933</v>
      </c>
      <c r="U17" s="4">
        <f>'7.1 Quotient endettement net'!U9</f>
        <v>292787.20999999985</v>
      </c>
      <c r="V17" s="4">
        <f>'7.1 Quotient endettement net'!V9</f>
        <v>439211.70000000019</v>
      </c>
      <c r="W17" s="4">
        <f>'7.1 Quotient endettement net'!W9</f>
        <v>10418227.84</v>
      </c>
      <c r="X17" s="4">
        <f>'7.1 Quotient endettement net'!X9</f>
        <v>-1080510</v>
      </c>
      <c r="Y17" s="4">
        <f>'7.1 Quotient endettement net'!Y9</f>
        <v>7786577.9200000009</v>
      </c>
      <c r="Z17" s="4">
        <f>'7.1 Quotient endettement net'!Z9</f>
        <v>-8985276.8900000006</v>
      </c>
      <c r="AA17" s="4">
        <f>'7.1 Quotient endettement net'!AA9</f>
        <v>135991</v>
      </c>
      <c r="AB17" s="4">
        <f>'7.1 Quotient endettement net'!AB9</f>
        <v>159244.26</v>
      </c>
      <c r="AC17" s="4">
        <f>'7.1 Quotient endettement net'!AC9</f>
        <v>261711.14999999991</v>
      </c>
      <c r="AD17" s="4">
        <f>'7.1 Quotient endettement net'!AD9</f>
        <v>6603345.2300000004</v>
      </c>
      <c r="AE17" s="4">
        <f>'7.1 Quotient endettement net'!AE9</f>
        <v>1285721.0299999998</v>
      </c>
      <c r="AF17" s="4">
        <f>'7.1 Quotient endettement net'!AF9</f>
        <v>-3100962.9499999997</v>
      </c>
      <c r="AG17" s="4">
        <f>'7.1 Quotient endettement net'!AG9</f>
        <v>-1077667.79</v>
      </c>
      <c r="AH17" s="4">
        <f>'7.1 Quotient endettement net'!AH9</f>
        <v>10187147</v>
      </c>
      <c r="AI17" s="4">
        <f>'7.1 Quotient endettement net'!AI9</f>
        <v>122013</v>
      </c>
      <c r="AJ17" s="4">
        <f>'7.1 Quotient endettement net'!AJ9</f>
        <v>-1131039.05</v>
      </c>
      <c r="AK17" s="4">
        <f>'7.1 Quotient endettement net'!AK9</f>
        <v>11365852.559999999</v>
      </c>
      <c r="AL17" s="4">
        <f>'7.1 Quotient endettement net'!AL9</f>
        <v>-3382369</v>
      </c>
      <c r="AM17" s="4">
        <f>'7.1 Quotient endettement net'!AM9</f>
        <v>6847039.9500000002</v>
      </c>
      <c r="AN17" s="4">
        <f>'7.1 Quotient endettement net'!AN9</f>
        <v>-517907.81999999995</v>
      </c>
      <c r="AO17" s="4">
        <f>'7.1 Quotient endettement net'!AO9</f>
        <v>-3843093.0299999993</v>
      </c>
      <c r="AP17" s="4">
        <f>'7.1 Quotient endettement net'!AP9</f>
        <v>1459848.7399999998</v>
      </c>
      <c r="AQ17" s="4">
        <f>'7.1 Quotient endettement net'!AQ9</f>
        <v>928102</v>
      </c>
      <c r="AR17" s="4">
        <f>'7.1 Quotient endettement net'!AR9</f>
        <v>-2020851.1899999995</v>
      </c>
      <c r="AS17" s="4">
        <f>'7.1 Quotient endettement net'!AS9</f>
        <v>3139351.8900000006</v>
      </c>
      <c r="AT17" s="4">
        <f>'7.1 Quotient endettement net'!AT9</f>
        <v>5090106.17</v>
      </c>
      <c r="AU17" s="4">
        <f>'7.1 Quotient endettement net'!AU9</f>
        <v>-1809164.0300000003</v>
      </c>
      <c r="AV17" s="4">
        <f>'7.1 Quotient endettement net'!AV9</f>
        <v>9800475.9100000001</v>
      </c>
      <c r="AW17" s="4">
        <f>'7.1 Quotient endettement net'!AW9</f>
        <v>2942305.27</v>
      </c>
      <c r="AX17" s="4">
        <f>'7.1 Quotient endettement net'!AX9</f>
        <v>303302.40000000002</v>
      </c>
      <c r="AY17" s="4">
        <f>'7.1 Quotient endettement net'!AY9</f>
        <v>62364.760000000009</v>
      </c>
      <c r="AZ17" s="4">
        <f>'7.1 Quotient endettement net'!AZ9</f>
        <v>16734582.77</v>
      </c>
      <c r="BA17" s="4">
        <f>'7.1 Quotient endettement net'!BA9</f>
        <v>-420378.84000000008</v>
      </c>
      <c r="BB17" s="4">
        <f>'7.1 Quotient endettement net'!BB9</f>
        <v>6329522.8200000003</v>
      </c>
      <c r="BC17" s="4">
        <f>'7.1 Quotient endettement net'!BC9</f>
        <v>-570550.06000000006</v>
      </c>
      <c r="BD17" s="4">
        <f>'7.1 Quotient endettement net'!BD9</f>
        <v>40863227.879999995</v>
      </c>
      <c r="BE17" s="4">
        <f>'7.1 Quotient endettement net'!BE9</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'7.1 Quotient endettement net'!D18</f>
        <v>117.28111054929138</v>
      </c>
      <c r="E19" s="4">
        <f>'7.1 Quotient endettement net'!E18</f>
        <v>73.961428193617735</v>
      </c>
      <c r="F19" s="4">
        <f>'7.1 Quotient endettement net'!F18</f>
        <v>45.637606853546188</v>
      </c>
      <c r="G19" s="4">
        <f>'7.1 Quotient endettement net'!G18</f>
        <v>190.50927029513406</v>
      </c>
      <c r="H19" s="4">
        <f>'7.1 Quotient endettement net'!H18</f>
        <v>29.836936326213404</v>
      </c>
      <c r="I19" s="4">
        <f>'7.1 Quotient endettement net'!I18</f>
        <v>138.19892255940579</v>
      </c>
      <c r="J19" s="4">
        <f>'7.1 Quotient endettement net'!J18</f>
        <v>146.21275852351943</v>
      </c>
      <c r="K19" s="4">
        <f>'7.1 Quotient endettement net'!K18</f>
        <v>16.242072064674066</v>
      </c>
      <c r="L19" s="4">
        <f>'7.1 Quotient endettement net'!L18</f>
        <v>205.94207770344184</v>
      </c>
      <c r="M19" s="4">
        <f>'7.1 Quotient endettement net'!M18</f>
        <v>66.625944825254095</v>
      </c>
      <c r="N19" s="4" t="e">
        <f>'7.1 Quotient endettement net'!N18</f>
        <v>#VALUE!</v>
      </c>
      <c r="O19" s="4">
        <f>'7.1 Quotient endettement net'!O18</f>
        <v>136.50038563613555</v>
      </c>
      <c r="P19" s="4">
        <f>'7.1 Quotient endettement net'!P18</f>
        <v>102.20765484411167</v>
      </c>
      <c r="Q19" s="4">
        <f>'7.1 Quotient endettement net'!Q18</f>
        <v>118.62027733872939</v>
      </c>
      <c r="R19" s="4">
        <f>'7.1 Quotient endettement net'!R18</f>
        <v>183.28367780200932</v>
      </c>
      <c r="S19" s="4">
        <f>'7.1 Quotient endettement net'!S18</f>
        <v>278.41725658221168</v>
      </c>
      <c r="T19" s="4">
        <f>'7.1 Quotient endettement net'!T18</f>
        <v>11.839593017718689</v>
      </c>
      <c r="U19" s="4">
        <f>'7.1 Quotient endettement net'!U18</f>
        <v>45.150418141514933</v>
      </c>
      <c r="V19" s="4">
        <f>'7.1 Quotient endettement net'!V18</f>
        <v>35.153173954112901</v>
      </c>
      <c r="W19" s="4">
        <f>'7.1 Quotient endettement net'!W18</f>
        <v>129.97675808637399</v>
      </c>
      <c r="X19" s="4">
        <f>'7.1 Quotient endettement net'!X18</f>
        <v>-142.35555754642158</v>
      </c>
      <c r="Y19" s="4">
        <f>'7.1 Quotient endettement net'!Y18</f>
        <v>221.94677730489971</v>
      </c>
      <c r="Z19" s="4">
        <f>'7.1 Quotient endettement net'!Z18</f>
        <v>-127.61722038559849</v>
      </c>
      <c r="AA19" s="4">
        <f>'7.1 Quotient endettement net'!AA18</f>
        <v>54.353786631281075</v>
      </c>
      <c r="AB19" s="4">
        <f>'7.1 Quotient endettement net'!AB18</f>
        <v>50.187349747683271</v>
      </c>
      <c r="AC19" s="4">
        <f>'7.1 Quotient endettement net'!AC18</f>
        <v>23.987434492782</v>
      </c>
      <c r="AD19" s="4">
        <f>'7.1 Quotient endettement net'!AD18</f>
        <v>464.32733048948006</v>
      </c>
      <c r="AE19" s="4">
        <f>'7.1 Quotient endettement net'!AE18</f>
        <v>97.989706638158609</v>
      </c>
      <c r="AF19" s="4">
        <f>'7.1 Quotient endettement net'!AF18</f>
        <v>-178.54850537396541</v>
      </c>
      <c r="AG19" s="4">
        <f>'7.1 Quotient endettement net'!AG18</f>
        <v>-18.717430543287268</v>
      </c>
      <c r="AH19" s="4">
        <f>'7.1 Quotient endettement net'!AH18</f>
        <v>146.15831700129414</v>
      </c>
      <c r="AI19" s="4">
        <f>'7.1 Quotient endettement net'!AI18</f>
        <v>17.856693351285692</v>
      </c>
      <c r="AJ19" s="4">
        <f>'7.1 Quotient endettement net'!AJ18</f>
        <v>-373.17177302107427</v>
      </c>
      <c r="AK19" s="4">
        <f>'7.1 Quotient endettement net'!AK18</f>
        <v>224.44528056848463</v>
      </c>
      <c r="AL19" s="4">
        <f>'7.1 Quotient endettement net'!AL18</f>
        <v>-145.19222349092971</v>
      </c>
      <c r="AM19" s="4">
        <f>'7.1 Quotient endettement net'!AM18</f>
        <v>226.3063313809362</v>
      </c>
      <c r="AN19" s="4">
        <f>'7.1 Quotient endettement net'!AN18</f>
        <v>-157.18475698113309</v>
      </c>
      <c r="AO19" s="4">
        <f>'7.1 Quotient endettement net'!AO18</f>
        <v>-82.961020424776464</v>
      </c>
      <c r="AP19" s="4">
        <f>'7.1 Quotient endettement net'!AP18</f>
        <v>80.529192291807561</v>
      </c>
      <c r="AQ19" s="4">
        <f>'7.1 Quotient endettement net'!AQ18</f>
        <v>53.150845910411725</v>
      </c>
      <c r="AR19" s="4">
        <f>'7.1 Quotient endettement net'!AR18</f>
        <v>-63.146519352685196</v>
      </c>
      <c r="AS19" s="4">
        <f>'7.1 Quotient endettement net'!AS18</f>
        <v>189.73399634275683</v>
      </c>
      <c r="AT19" s="4">
        <f>'7.1 Quotient endettement net'!AT18</f>
        <v>215.90250699362136</v>
      </c>
      <c r="AU19" s="4">
        <f>'7.1 Quotient endettement net'!AU18</f>
        <v>-89.380650720081391</v>
      </c>
      <c r="AV19" s="4">
        <f>'7.1 Quotient endettement net'!AV18</f>
        <v>191.22598377054521</v>
      </c>
      <c r="AW19" s="4">
        <f>'7.1 Quotient endettement net'!AW18</f>
        <v>151.98209886215599</v>
      </c>
      <c r="AX19" s="4">
        <f>'7.1 Quotient endettement net'!AX18</f>
        <v>62.237146068789869</v>
      </c>
      <c r="AY19" s="4">
        <f>'7.1 Quotient endettement net'!AY18</f>
        <v>5.920731107013415</v>
      </c>
      <c r="AZ19" s="4">
        <f>'7.1 Quotient endettement net'!AZ18</f>
        <v>336.5294731404727</v>
      </c>
      <c r="BA19" s="4">
        <f>'7.1 Quotient endettement net'!BA18</f>
        <v>-37.683695074078997</v>
      </c>
      <c r="BB19" s="4">
        <f>'7.1 Quotient endettement net'!BB18</f>
        <v>201.93679064653983</v>
      </c>
      <c r="BC19" s="4">
        <f>'7.1 Quotient endettement net'!BC18</f>
        <v>-142.26256422915355</v>
      </c>
      <c r="BD19" s="4">
        <f>'7.1 Quotient endettement net'!BD18</f>
        <v>184.04026387406529</v>
      </c>
      <c r="BE19" s="4">
        <f>'7.1 Quotient endettement net'!BE18</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'7.1 Quotient endettement net'!D35</f>
        <v>22485634.750000007</v>
      </c>
      <c r="E24" s="4">
        <f>'7.1 Quotient endettement net'!E35</f>
        <v>832459.83000000007</v>
      </c>
      <c r="F24" s="4">
        <f>'7.1 Quotient endettement net'!F35</f>
        <v>205445.28</v>
      </c>
      <c r="G24" s="4">
        <f>'7.1 Quotient endettement net'!G35</f>
        <v>-61794.959999999992</v>
      </c>
      <c r="H24" s="4">
        <f>'7.1 Quotient endettement net'!H35</f>
        <v>189395.1</v>
      </c>
      <c r="I24" s="4">
        <f>'7.1 Quotient endettement net'!I35</f>
        <v>164.30999999999767</v>
      </c>
      <c r="J24" s="4">
        <f>'7.1 Quotient endettement net'!J35</f>
        <v>1876600.28</v>
      </c>
      <c r="K24" s="4">
        <f>'7.1 Quotient endettement net'!K35</f>
        <v>486979.09000000008</v>
      </c>
      <c r="L24" s="4">
        <f>'7.1 Quotient endettement net'!L35</f>
        <v>1468726.6999999997</v>
      </c>
      <c r="M24" s="4">
        <f>'7.1 Quotient endettement net'!M35</f>
        <v>45022.169999999991</v>
      </c>
      <c r="N24" s="4">
        <f>'7.1 Quotient endettement net'!N35</f>
        <v>0</v>
      </c>
      <c r="O24" s="4">
        <f>'7.1 Quotient endettement net'!O35</f>
        <v>-408267.07000000007</v>
      </c>
      <c r="P24" s="4">
        <f>'7.1 Quotient endettement net'!P35</f>
        <v>66001.91</v>
      </c>
      <c r="Q24" s="4">
        <f>'7.1 Quotient endettement net'!Q35</f>
        <v>-73417.52</v>
      </c>
      <c r="R24" s="4">
        <f>'7.1 Quotient endettement net'!R35</f>
        <v>64471.42</v>
      </c>
      <c r="S24" s="4">
        <f>'7.1 Quotient endettement net'!S35</f>
        <v>54478.63</v>
      </c>
      <c r="T24" s="4">
        <f>'7.1 Quotient endettement net'!T35</f>
        <v>181886.19</v>
      </c>
      <c r="U24" s="4">
        <f>'7.1 Quotient endettement net'!U35</f>
        <v>31257.25</v>
      </c>
      <c r="V24" s="4">
        <f>'7.1 Quotient endettement net'!V35</f>
        <v>-3983.6100000000151</v>
      </c>
      <c r="W24" s="4">
        <f>'7.1 Quotient endettement net'!W35</f>
        <v>1099927.6200000001</v>
      </c>
      <c r="X24" s="4">
        <f>'7.1 Quotient endettement net'!X35</f>
        <v>151103</v>
      </c>
      <c r="Y24" s="4">
        <f>'7.1 Quotient endettement net'!Y35</f>
        <v>308378.78000000003</v>
      </c>
      <c r="Z24" s="4">
        <f>'7.1 Quotient endettement net'!Z35</f>
        <v>3612940.13</v>
      </c>
      <c r="AA24" s="4">
        <f>'7.1 Quotient endettement net'!AA35</f>
        <v>44754.25</v>
      </c>
      <c r="AB24" s="4">
        <f>'7.1 Quotient endettement net'!AB35</f>
        <v>-9198.24</v>
      </c>
      <c r="AC24" s="4">
        <f>'7.1 Quotient endettement net'!AC35</f>
        <v>-278712.08999999997</v>
      </c>
      <c r="AD24" s="4">
        <f>'7.1 Quotient endettement net'!AD35</f>
        <v>-199633.86</v>
      </c>
      <c r="AE24" s="4">
        <f>'7.1 Quotient endettement net'!AE35</f>
        <v>-49418.240000000013</v>
      </c>
      <c r="AF24" s="4">
        <f>'7.1 Quotient endettement net'!AF35</f>
        <v>460433.87</v>
      </c>
      <c r="AG24" s="4">
        <f>'7.1 Quotient endettement net'!AG35</f>
        <v>1326940.22</v>
      </c>
      <c r="AH24" s="4">
        <f>'7.1 Quotient endettement net'!AH35</f>
        <v>1154249</v>
      </c>
      <c r="AI24" s="4">
        <f>'7.1 Quotient endettement net'!AI35</f>
        <v>199878</v>
      </c>
      <c r="AJ24" s="4">
        <f>'7.1 Quotient endettement net'!AJ35</f>
        <v>-34242.9</v>
      </c>
      <c r="AK24" s="4">
        <f>'7.1 Quotient endettement net'!AK35</f>
        <v>78262.3</v>
      </c>
      <c r="AL24" s="4">
        <f>'7.1 Quotient endettement net'!AL35</f>
        <v>351169</v>
      </c>
      <c r="AM24" s="4">
        <f>'7.1 Quotient endettement net'!AM35</f>
        <v>74800</v>
      </c>
      <c r="AN24" s="4">
        <f>'7.1 Quotient endettement net'!AN35</f>
        <v>33942.740000000005</v>
      </c>
      <c r="AO24" s="4">
        <f>'7.1 Quotient endettement net'!AO35</f>
        <v>654861.09</v>
      </c>
      <c r="AP24" s="4">
        <f>'7.1 Quotient endettement net'!AP35</f>
        <v>552003.74</v>
      </c>
      <c r="AQ24" s="4">
        <f>'7.1 Quotient endettement net'!AQ35</f>
        <v>300994</v>
      </c>
      <c r="AR24" s="4">
        <f>'7.1 Quotient endettement net'!AR35</f>
        <v>754497.03999999992</v>
      </c>
      <c r="AS24" s="4">
        <f>'7.1 Quotient endettement net'!AS35</f>
        <v>183781.52</v>
      </c>
      <c r="AT24" s="4">
        <f>'7.1 Quotient endettement net'!AT35</f>
        <v>51568.060000000012</v>
      </c>
      <c r="AU24" s="4">
        <f>'7.1 Quotient endettement net'!AU35</f>
        <v>1356568</v>
      </c>
      <c r="AV24" s="4">
        <f>'7.1 Quotient endettement net'!AV35</f>
        <v>-824702.74</v>
      </c>
      <c r="AW24" s="4">
        <f>'7.1 Quotient endettement net'!AW35</f>
        <v>41052.320000000007</v>
      </c>
      <c r="AX24" s="4">
        <f>'7.1 Quotient endettement net'!AX35</f>
        <v>1414.0600000000013</v>
      </c>
      <c r="AY24" s="4">
        <f>'7.1 Quotient endettement net'!AY35</f>
        <v>225632.85</v>
      </c>
      <c r="AZ24" s="4">
        <f>'7.1 Quotient endettement net'!AZ35</f>
        <v>670622.73</v>
      </c>
      <c r="BA24" s="4">
        <f>'7.1 Quotient endettement net'!BA35</f>
        <v>253173.4</v>
      </c>
      <c r="BB24" s="4">
        <f>'7.1 Quotient endettement net'!BB35</f>
        <v>769502.15</v>
      </c>
      <c r="BC24" s="4">
        <f>'7.1 Quotient endettement net'!BC35</f>
        <v>10198.42</v>
      </c>
      <c r="BD24" s="4">
        <f>'7.1 Quotient endettement net'!BD35</f>
        <v>4085388.59</v>
      </c>
      <c r="BE24" s="4">
        <f>'7.1 Quotient endettement net'!BE35</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'7.1 Quotient endettement net'!D42</f>
        <v>87.460441613465107</v>
      </c>
      <c r="E26" s="4">
        <f>'7.1 Quotient endettement net'!E42</f>
        <v>140.17718914924001</v>
      </c>
      <c r="F26" s="4">
        <f>'7.1 Quotient endettement net'!F42</f>
        <v>-96.059968607376661</v>
      </c>
      <c r="G26" s="4">
        <f>'7.1 Quotient endettement net'!G42</f>
        <v>-3.6425543403056899</v>
      </c>
      <c r="H26" s="4">
        <f>'7.1 Quotient endettement net'!H42</f>
        <v>-256.5750409968482</v>
      </c>
      <c r="I26" s="4">
        <f>'7.1 Quotient endettement net'!I42</f>
        <v>7.7284310875680804E-3</v>
      </c>
      <c r="J26" s="4">
        <f>'7.1 Quotient endettement net'!J42</f>
        <v>122.73924254567692</v>
      </c>
      <c r="K26" s="4">
        <f>'7.1 Quotient endettement net'!K42</f>
        <v>38.449889242193898</v>
      </c>
      <c r="L26" s="4">
        <f>'7.1 Quotient endettement net'!L42</f>
        <v>14.795729268374016</v>
      </c>
      <c r="M26" s="4">
        <f>'7.1 Quotient endettement net'!M42</f>
        <v>24.410668281676422</v>
      </c>
      <c r="N26" s="4">
        <f>'7.1 Quotient endettement net'!N42</f>
        <v>0</v>
      </c>
      <c r="O26" s="4">
        <f>'7.1 Quotient endettement net'!O42</f>
        <v>-22.938461812471182</v>
      </c>
      <c r="P26" s="4">
        <f>'7.1 Quotient endettement net'!P42</f>
        <v>212.77739647309096</v>
      </c>
      <c r="Q26" s="4" t="e">
        <f>'7.1 Quotient endettement net'!Q42</f>
        <v>#VALUE!</v>
      </c>
      <c r="R26" s="4">
        <f>'7.1 Quotient endettement net'!R42</f>
        <v>407.68572151258377</v>
      </c>
      <c r="S26" s="4">
        <f>'7.1 Quotient endettement net'!S42</f>
        <v>31.814809558932168</v>
      </c>
      <c r="T26" s="4">
        <f>'7.1 Quotient endettement net'!T42</f>
        <v>83.4427782912108</v>
      </c>
      <c r="U26" s="4">
        <f>'7.1 Quotient endettement net'!U42</f>
        <v>47.505585361034697</v>
      </c>
      <c r="V26" s="4">
        <f>'7.1 Quotient endettement net'!V42</f>
        <v>4.19245328729885</v>
      </c>
      <c r="W26" s="4">
        <f>'7.1 Quotient endettement net'!W42</f>
        <v>339.18918889748409</v>
      </c>
      <c r="X26" s="4">
        <f>'7.1 Quotient endettement net'!X42</f>
        <v>230.41598332376464</v>
      </c>
      <c r="Y26" s="4">
        <f>'7.1 Quotient endettement net'!Y42</f>
        <v>-29.73231745424485</v>
      </c>
      <c r="Z26" s="4">
        <f>'7.1 Quotient endettement net'!Z42</f>
        <v>717.38927807521566</v>
      </c>
      <c r="AA26" s="4" t="e">
        <f>'7.1 Quotient endettement net'!AA42</f>
        <v>#VALUE!</v>
      </c>
      <c r="AB26" s="4">
        <f>'7.1 Quotient endettement net'!AB42</f>
        <v>10.222555383233022</v>
      </c>
      <c r="AC26" s="4">
        <f>'7.1 Quotient endettement net'!AC42</f>
        <v>-300.3563707920141</v>
      </c>
      <c r="AD26" s="4">
        <f>'7.1 Quotient endettement net'!AD42</f>
        <v>-171.4140064078731</v>
      </c>
      <c r="AE26" s="4">
        <f>'7.1 Quotient endettement net'!AE42</f>
        <v>-122.31087174968694</v>
      </c>
      <c r="AF26" s="4">
        <f>'7.1 Quotient endettement net'!AF42</f>
        <v>179.59152175066228</v>
      </c>
      <c r="AG26" s="4">
        <f>'7.1 Quotient endettement net'!AG42</f>
        <v>329.4671677507875</v>
      </c>
      <c r="AH26" s="4">
        <f>'7.1 Quotient endettement net'!AH42</f>
        <v>-688.72123941170355</v>
      </c>
      <c r="AI26" s="4" t="e">
        <f>'7.1 Quotient endettement net'!AI42</f>
        <v>#VALUE!</v>
      </c>
      <c r="AJ26" s="4" t="e">
        <f>'7.1 Quotient endettement net'!AJ42</f>
        <v>#VALUE!</v>
      </c>
      <c r="AK26" s="4">
        <f>'7.1 Quotient endettement net'!AK42</f>
        <v>3.9731846247777045</v>
      </c>
      <c r="AL26" s="4">
        <f>'7.1 Quotient endettement net'!AL42</f>
        <v>93.928103351432313</v>
      </c>
      <c r="AM26" s="4">
        <f>'7.1 Quotient endettement net'!AM42</f>
        <v>31.893118825105255</v>
      </c>
      <c r="AN26" s="4">
        <f>'7.1 Quotient endettement net'!AN42</f>
        <v>6.0315413129004867</v>
      </c>
      <c r="AO26" s="4">
        <f>'7.1 Quotient endettement net'!AO42</f>
        <v>76.759257577013187</v>
      </c>
      <c r="AP26" s="4">
        <f>'7.1 Quotient endettement net'!AP42</f>
        <v>295.18585085408137</v>
      </c>
      <c r="AQ26" s="4">
        <f>'7.1 Quotient endettement net'!AQ42</f>
        <v>764.21377084809114</v>
      </c>
      <c r="AR26" s="4">
        <f>'7.1 Quotient endettement net'!AR42</f>
        <v>202.6221857527712</v>
      </c>
      <c r="AS26" s="4">
        <f>'7.1 Quotient endettement net'!AS42</f>
        <v>1025.5665178571428</v>
      </c>
      <c r="AT26" s="4">
        <f>'7.1 Quotient endettement net'!AT42</f>
        <v>54.706402173486403</v>
      </c>
      <c r="AU26" s="4">
        <f>'7.1 Quotient endettement net'!AU42</f>
        <v>706.85029437158619</v>
      </c>
      <c r="AV26" s="4">
        <f>'7.1 Quotient endettement net'!AV42</f>
        <v>-134.50563512642054</v>
      </c>
      <c r="AW26" s="4">
        <f>'7.1 Quotient endettement net'!AW42</f>
        <v>84.583965187578301</v>
      </c>
      <c r="AX26" s="4" t="e">
        <f>'7.1 Quotient endettement net'!AX42</f>
        <v>#VALUE!</v>
      </c>
      <c r="AY26" s="4" t="e">
        <f>'7.1 Quotient endettement net'!AY42</f>
        <v>#VALUE!</v>
      </c>
      <c r="AZ26" s="4" t="e">
        <f>'7.1 Quotient endettement net'!AZ42</f>
        <v>#VALUE!</v>
      </c>
      <c r="BA26" s="4">
        <f>'7.1 Quotient endettement net'!BA42</f>
        <v>227.58192619080683</v>
      </c>
      <c r="BB26" s="4">
        <f>'7.1 Quotient endettement net'!BB42</f>
        <v>219.90440829233057</v>
      </c>
      <c r="BC26" s="4" t="e">
        <f>'7.1 Quotient endettement net'!BC42</f>
        <v>#VALUE!</v>
      </c>
      <c r="BD26" s="4">
        <f>'7.1 Quotient endettement net'!BD42</f>
        <v>-1473.5315391598212</v>
      </c>
      <c r="BE26" s="4">
        <f>'7.1 Quotient endettement net'!BE42</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5"/>
      <c r="B9" s="155"/>
      <c r="C9" s="155"/>
      <c r="D9" s="155"/>
      <c r="E9" s="155"/>
      <c r="F9" s="155"/>
      <c r="G9" s="155"/>
      <c r="H9" s="155"/>
    </row>
    <row r="10" spans="1:8" ht="15.75" thickBot="1" x14ac:dyDescent="0.3">
      <c r="B10" s="227" t="s">
        <v>597</v>
      </c>
      <c r="C10" s="227"/>
      <c r="D10" s="227"/>
    </row>
    <row r="11" spans="1:8" ht="15.75" thickBot="1" x14ac:dyDescent="0.3">
      <c r="A11" s="156"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59"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59"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59" t="s">
        <v>585</v>
      </c>
    </row>
    <row r="51" spans="1:3" x14ac:dyDescent="0.25">
      <c r="A51" s="158" t="s">
        <v>598</v>
      </c>
      <c r="B51" s="197" t="s">
        <v>783</v>
      </c>
      <c r="C51" s="157"/>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2"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3">
        <f t="shared" ref="E160:R160" si="35">E157-E159</f>
        <v>-1.127773430198431E-10</v>
      </c>
      <c r="F160" s="153">
        <f t="shared" si="35"/>
        <v>0</v>
      </c>
      <c r="G160" s="153">
        <f t="shared" si="35"/>
        <v>5.2295945351943374E-12</v>
      </c>
      <c r="H160" s="153">
        <f t="shared" si="35"/>
        <v>0</v>
      </c>
      <c r="I160" s="153">
        <f t="shared" si="35"/>
        <v>-5.8207660913467407E-11</v>
      </c>
      <c r="J160" s="153">
        <f t="shared" si="35"/>
        <v>0</v>
      </c>
      <c r="K160" s="153">
        <f t="shared" si="35"/>
        <v>0</v>
      </c>
      <c r="L160" s="153">
        <f t="shared" si="35"/>
        <v>0</v>
      </c>
      <c r="M160" s="153">
        <f t="shared" si="35"/>
        <v>0</v>
      </c>
      <c r="N160" s="153">
        <f t="shared" si="35"/>
        <v>0</v>
      </c>
      <c r="O160" s="153">
        <f t="shared" si="35"/>
        <v>0</v>
      </c>
      <c r="P160" s="153">
        <f t="shared" si="35"/>
        <v>0</v>
      </c>
      <c r="Q160" s="153">
        <f t="shared" si="35"/>
        <v>0</v>
      </c>
      <c r="R160" s="153">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4" t="s">
        <v>28</v>
      </c>
    </row>
    <row r="7" spans="1:5" x14ac:dyDescent="0.25">
      <c r="E7" s="65" t="s">
        <v>205</v>
      </c>
    </row>
    <row r="8" spans="1:5" ht="21" x14ac:dyDescent="0.35">
      <c r="A8" s="92">
        <v>3</v>
      </c>
      <c r="B8" s="92"/>
      <c r="C8" s="92"/>
      <c r="D8" s="92" t="s">
        <v>60</v>
      </c>
      <c r="E8" s="171">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2">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1">
        <f>E154+E155</f>
        <v>338069</v>
      </c>
      <c r="F157" s="181">
        <f t="shared" ref="F157:BI157" si="102">F154+F155</f>
        <v>183367.53000000003</v>
      </c>
      <c r="G157" s="181">
        <f t="shared" si="102"/>
        <v>-29321.279999999999</v>
      </c>
      <c r="H157" s="181">
        <f t="shared" si="102"/>
        <v>21653.66</v>
      </c>
      <c r="I157" s="181">
        <f t="shared" si="102"/>
        <v>461623.62999999995</v>
      </c>
      <c r="J157" s="181">
        <f t="shared" si="102"/>
        <v>1051215.94</v>
      </c>
      <c r="K157" s="181">
        <f t="shared" si="102"/>
        <v>253856.48</v>
      </c>
      <c r="L157" s="181">
        <f t="shared" si="102"/>
        <v>2089673.1800000002</v>
      </c>
      <c r="M157" s="181">
        <f t="shared" si="102"/>
        <v>-1352.8600000000151</v>
      </c>
      <c r="N157" s="181">
        <f t="shared" si="102"/>
        <v>-63918.92</v>
      </c>
      <c r="O157" s="181">
        <f t="shared" si="102"/>
        <v>-1177403.47</v>
      </c>
      <c r="P157" s="181">
        <f t="shared" si="102"/>
        <v>-93731.8</v>
      </c>
      <c r="Q157" s="181">
        <f t="shared" si="102"/>
        <v>-9460.8100000000013</v>
      </c>
      <c r="R157" s="181">
        <f t="shared" si="102"/>
        <v>-16853.579999999998</v>
      </c>
      <c r="S157" s="181">
        <f t="shared" si="102"/>
        <v>-13071.369999999995</v>
      </c>
      <c r="T157" s="181">
        <f t="shared" si="102"/>
        <v>262757.42</v>
      </c>
      <c r="U157" s="181">
        <f t="shared" si="102"/>
        <v>9048.7099999999991</v>
      </c>
      <c r="V157" s="181">
        <f t="shared" si="102"/>
        <v>-152377.16</v>
      </c>
      <c r="W157" s="181">
        <f t="shared" si="102"/>
        <v>364711.41000000003</v>
      </c>
      <c r="X157" s="181">
        <f t="shared" si="102"/>
        <v>26286.14</v>
      </c>
      <c r="Y157" s="181">
        <f t="shared" si="102"/>
        <v>178997.68</v>
      </c>
      <c r="Z157" s="181">
        <f t="shared" si="102"/>
        <v>3517719.9899999998</v>
      </c>
      <c r="AA157" s="181">
        <f t="shared" si="102"/>
        <v>-11170.27</v>
      </c>
      <c r="AB157" s="181">
        <f t="shared" si="102"/>
        <v>41421.78</v>
      </c>
      <c r="AC157" s="181">
        <f t="shared" si="102"/>
        <v>-114596.97</v>
      </c>
      <c r="AD157" s="181">
        <f t="shared" si="102"/>
        <v>-99000.459999999992</v>
      </c>
      <c r="AE157" s="181">
        <f t="shared" si="102"/>
        <v>-194273.68</v>
      </c>
      <c r="AF157" s="181">
        <f t="shared" si="102"/>
        <v>122538.76</v>
      </c>
      <c r="AG157" s="181">
        <f t="shared" si="102"/>
        <v>1107210.3</v>
      </c>
      <c r="AH157" s="181">
        <f t="shared" si="102"/>
        <v>243887.35</v>
      </c>
      <c r="AI157" s="181">
        <f t="shared" si="102"/>
        <v>-5355.96</v>
      </c>
      <c r="AJ157" s="181">
        <f t="shared" si="102"/>
        <v>22586.400000000001</v>
      </c>
      <c r="AK157" s="181">
        <f t="shared" si="102"/>
        <v>153720</v>
      </c>
      <c r="AL157" s="181">
        <f t="shared" si="102"/>
        <v>-32824.589999999997</v>
      </c>
      <c r="AM157" s="181">
        <f t="shared" si="102"/>
        <v>-5589.7700000000041</v>
      </c>
      <c r="AN157" s="181">
        <f t="shared" si="102"/>
        <v>13711.05</v>
      </c>
      <c r="AO157" s="181">
        <f t="shared" si="102"/>
        <v>341994.52</v>
      </c>
      <c r="AP157" s="181">
        <f t="shared" si="102"/>
        <v>197653.74000000002</v>
      </c>
      <c r="AQ157" s="181">
        <f t="shared" si="102"/>
        <v>23915.769999999997</v>
      </c>
      <c r="AR157" s="181">
        <f t="shared" si="102"/>
        <v>50671.79</v>
      </c>
      <c r="AS157" s="181">
        <f t="shared" si="102"/>
        <v>52551.100000000006</v>
      </c>
      <c r="AT157" s="181">
        <f t="shared" si="102"/>
        <v>35118.03</v>
      </c>
      <c r="AU157" s="181">
        <f t="shared" si="102"/>
        <v>112815.42</v>
      </c>
      <c r="AV157" s="181">
        <f t="shared" si="102"/>
        <v>-268507.58</v>
      </c>
      <c r="AW157" s="181">
        <f t="shared" si="102"/>
        <v>-9064.0300000000025</v>
      </c>
      <c r="AX157" s="181">
        <f t="shared" si="102"/>
        <v>29819.599999999999</v>
      </c>
      <c r="AY157" s="181">
        <f t="shared" si="102"/>
        <v>73689.049999999988</v>
      </c>
      <c r="AZ157" s="181">
        <f t="shared" si="102"/>
        <v>79042.83</v>
      </c>
      <c r="BA157" s="181">
        <f t="shared" si="102"/>
        <v>160878.04999999999</v>
      </c>
      <c r="BB157" s="181">
        <f t="shared" si="102"/>
        <v>192186.95</v>
      </c>
      <c r="BC157" s="181">
        <f t="shared" si="102"/>
        <v>-14911.230000000001</v>
      </c>
      <c r="BD157" s="181">
        <f t="shared" si="102"/>
        <v>1253727.51</v>
      </c>
      <c r="BE157" s="181">
        <f t="shared" si="102"/>
        <v>49199.93</v>
      </c>
      <c r="BF157" s="181">
        <f t="shared" si="102"/>
        <v>10804534.910000002</v>
      </c>
      <c r="BG157" s="181">
        <f t="shared" si="102"/>
        <v>3478485.71</v>
      </c>
      <c r="BH157" s="181">
        <f t="shared" si="102"/>
        <v>4836251.0600000005</v>
      </c>
      <c r="BI157" s="181">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3">
        <f t="shared" ref="E160:AJ160" si="105">E157-E159</f>
        <v>-4.6566128730773926E-10</v>
      </c>
      <c r="F160" s="153">
        <f t="shared" si="105"/>
        <v>-2.3283064365386963E-10</v>
      </c>
      <c r="G160" s="153">
        <f t="shared" si="105"/>
        <v>-2.0372681319713593E-10</v>
      </c>
      <c r="H160" s="153">
        <f t="shared" si="105"/>
        <v>-1.4915713109076023E-10</v>
      </c>
      <c r="I160" s="153">
        <f t="shared" si="105"/>
        <v>-2.7357600629329681E-9</v>
      </c>
      <c r="J160" s="153">
        <f t="shared" si="105"/>
        <v>0</v>
      </c>
      <c r="K160" s="153">
        <f t="shared" si="105"/>
        <v>-4.3655745685100555E-10</v>
      </c>
      <c r="L160" s="153">
        <f t="shared" si="105"/>
        <v>-6.9849193096160889E-9</v>
      </c>
      <c r="M160" s="153">
        <f t="shared" si="105"/>
        <v>-6.1118043959140778E-10</v>
      </c>
      <c r="N160" s="153">
        <f t="shared" si="105"/>
        <v>0</v>
      </c>
      <c r="O160" s="153">
        <f t="shared" si="105"/>
        <v>2.5611370801925659E-9</v>
      </c>
      <c r="P160" s="153">
        <f t="shared" si="105"/>
        <v>0</v>
      </c>
      <c r="Q160" s="153">
        <f t="shared" si="105"/>
        <v>0</v>
      </c>
      <c r="R160" s="153">
        <f t="shared" si="105"/>
        <v>-1.5643308870494366E-10</v>
      </c>
      <c r="S160" s="153">
        <f t="shared" si="105"/>
        <v>1.1641532182693481E-10</v>
      </c>
      <c r="T160" s="153">
        <f t="shared" si="105"/>
        <v>0</v>
      </c>
      <c r="U160" s="153">
        <f t="shared" si="105"/>
        <v>3.637978807091713E-11</v>
      </c>
      <c r="V160" s="153">
        <f t="shared" si="105"/>
        <v>6.1118043959140778E-10</v>
      </c>
      <c r="W160" s="153">
        <f t="shared" si="105"/>
        <v>0</v>
      </c>
      <c r="X160" s="153">
        <f t="shared" si="105"/>
        <v>-3.637978807091713E-10</v>
      </c>
      <c r="Y160" s="153">
        <f t="shared" si="105"/>
        <v>2.9103830456733704E-10</v>
      </c>
      <c r="Z160" s="153">
        <f t="shared" si="105"/>
        <v>0</v>
      </c>
      <c r="AA160" s="153">
        <f t="shared" si="105"/>
        <v>1.8189894035458565E-11</v>
      </c>
      <c r="AB160" s="153">
        <f t="shared" si="105"/>
        <v>0</v>
      </c>
      <c r="AC160" s="153">
        <f t="shared" si="105"/>
        <v>1.1350493878126144E-9</v>
      </c>
      <c r="AD160" s="153">
        <f t="shared" si="105"/>
        <v>1.8335413187742233E-9</v>
      </c>
      <c r="AE160" s="153">
        <f t="shared" si="105"/>
        <v>-2.9103830456733704E-10</v>
      </c>
      <c r="AF160" s="153">
        <f t="shared" si="105"/>
        <v>2.1827872842550278E-10</v>
      </c>
      <c r="AG160" s="153">
        <f t="shared" si="105"/>
        <v>-2.5611370801925659E-9</v>
      </c>
      <c r="AH160" s="153">
        <f t="shared" si="105"/>
        <v>2.2409949451684952E-9</v>
      </c>
      <c r="AI160" s="153">
        <f t="shared" si="105"/>
        <v>-3.7289282772690058E-11</v>
      </c>
      <c r="AJ160" s="153">
        <f t="shared" si="105"/>
        <v>0</v>
      </c>
      <c r="AK160" s="153">
        <f t="shared" ref="AK160:BI160" si="106">AK157-AK159</f>
        <v>-9.3132257461547852E-10</v>
      </c>
      <c r="AL160" s="153">
        <f t="shared" si="106"/>
        <v>1.7171259969472885E-9</v>
      </c>
      <c r="AM160" s="153">
        <f t="shared" si="106"/>
        <v>4.8021320253610611E-10</v>
      </c>
      <c r="AN160" s="153">
        <f t="shared" si="106"/>
        <v>6.9121597334742546E-11</v>
      </c>
      <c r="AO160" s="153">
        <f t="shared" si="106"/>
        <v>-4.6566128730773926E-10</v>
      </c>
      <c r="AP160" s="153">
        <f t="shared" si="106"/>
        <v>-6.6938810050487518E-10</v>
      </c>
      <c r="AQ160" s="153">
        <f t="shared" si="106"/>
        <v>4.4383341446518898E-10</v>
      </c>
      <c r="AR160" s="153">
        <f t="shared" si="106"/>
        <v>-9.6770236268639565E-10</v>
      </c>
      <c r="AS160" s="153">
        <f t="shared" si="106"/>
        <v>-8.7311491370201111E-11</v>
      </c>
      <c r="AT160" s="153">
        <f t="shared" si="106"/>
        <v>-2.6193447411060333E-10</v>
      </c>
      <c r="AU160" s="153">
        <f t="shared" si="106"/>
        <v>0</v>
      </c>
      <c r="AV160" s="153">
        <f t="shared" si="106"/>
        <v>0</v>
      </c>
      <c r="AW160" s="153">
        <f t="shared" si="106"/>
        <v>-2.0736479200422764E-10</v>
      </c>
      <c r="AX160" s="153">
        <f t="shared" si="106"/>
        <v>-9.4587448984384537E-11</v>
      </c>
      <c r="AY160" s="153">
        <f t="shared" si="106"/>
        <v>1.7462298274040222E-10</v>
      </c>
      <c r="AZ160" s="153">
        <f t="shared" si="106"/>
        <v>0</v>
      </c>
      <c r="BA160" s="153">
        <f t="shared" si="106"/>
        <v>0</v>
      </c>
      <c r="BB160" s="153">
        <f t="shared" si="106"/>
        <v>0</v>
      </c>
      <c r="BC160" s="153">
        <f t="shared" si="106"/>
        <v>9.6406438387930393E-11</v>
      </c>
      <c r="BD160" s="153">
        <f t="shared" si="106"/>
        <v>2.0954757928848267E-9</v>
      </c>
      <c r="BE160" s="153">
        <f t="shared" si="106"/>
        <v>-1.673470251262188E-10</v>
      </c>
      <c r="BF160" s="153">
        <f t="shared" si="106"/>
        <v>1.5459954738616943E-7</v>
      </c>
      <c r="BG160" s="153">
        <f t="shared" si="106"/>
        <v>-8.3819031715393066E-9</v>
      </c>
      <c r="BH160" s="153">
        <f t="shared" si="106"/>
        <v>0</v>
      </c>
      <c r="BI160" s="153">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'6.1 Investissements'!E182</f>
        <v>1441429.61</v>
      </c>
      <c r="F177" s="4">
        <f>'6.1 Investissements'!F182</f>
        <v>-213871.9</v>
      </c>
      <c r="G177" s="4">
        <f>'6.1 Investissements'!G182</f>
        <v>1711974.9000000004</v>
      </c>
      <c r="H177" s="4">
        <f>'6.1 Investissements'!H182</f>
        <v>-73816.650000000023</v>
      </c>
      <c r="I177" s="4">
        <f>'6.1 Investissements'!I182</f>
        <v>2181341.7800000003</v>
      </c>
      <c r="J177" s="4">
        <f>'6.1 Investissements'!J182</f>
        <v>1910540.2199999997</v>
      </c>
      <c r="K177" s="4">
        <f>'6.1 Investissements'!K182</f>
        <v>1074389.2400000002</v>
      </c>
      <c r="L177" s="4">
        <f>'6.1 Investissements'!L182</f>
        <v>14843351.189999998</v>
      </c>
      <c r="M177" s="4">
        <f>'6.1 Investissements'!M182</f>
        <v>259678.55</v>
      </c>
      <c r="N177" s="4">
        <f>'6.1 Investissements'!N182</f>
        <v>41267.75</v>
      </c>
      <c r="O177" s="4">
        <f>'6.1 Investissements'!O182</f>
        <v>2584951.25</v>
      </c>
      <c r="P177" s="4">
        <f>'6.1 Investissements'!P182</f>
        <v>31019.23000000001</v>
      </c>
      <c r="Q177" s="4">
        <f>'6.1 Investissements'!Q182</f>
        <v>0</v>
      </c>
      <c r="R177" s="4">
        <f>'6.1 Investissements'!R182</f>
        <v>19797.849999999999</v>
      </c>
      <c r="S177" s="4">
        <f>'6.1 Investissements'!S182</f>
        <v>171236.7</v>
      </c>
      <c r="T177" s="4">
        <f>'6.1 Investissements'!T182</f>
        <v>263158.75</v>
      </c>
      <c r="U177" s="4">
        <f>'6.1 Investissements'!U182</f>
        <v>114020.5</v>
      </c>
      <c r="V177" s="4">
        <f>'6.1 Investissements'!V182</f>
        <v>-95018.589999999967</v>
      </c>
      <c r="W177" s="4">
        <f>'6.1 Investissements'!W182</f>
        <v>340342.60000000033</v>
      </c>
      <c r="X177" s="4">
        <f>'6.1 Investissements'!X182</f>
        <v>67578.350000000006</v>
      </c>
      <c r="Y177" s="4">
        <f>'6.1 Investissements'!Y182</f>
        <v>-1037183.7999999998</v>
      </c>
      <c r="Z177" s="4">
        <f>'6.1 Investissements'!Z182</f>
        <v>503623.38</v>
      </c>
      <c r="AA177" s="4">
        <f>'6.1 Investissements'!AA182</f>
        <v>0</v>
      </c>
      <c r="AB177" s="4">
        <f>'6.1 Investissements'!AB182</f>
        <v>-43584.75</v>
      </c>
      <c r="AC177" s="4">
        <f>'6.1 Investissements'!AC182</f>
        <v>92793.8</v>
      </c>
      <c r="AD177" s="4">
        <f>'6.1 Investissements'!AD182</f>
        <v>563080.98</v>
      </c>
      <c r="AE177" s="4">
        <f>'6.1 Investissements'!AE182</f>
        <v>56302.700000000012</v>
      </c>
      <c r="AF177" s="4">
        <f>'6.1 Investissements'!AF182</f>
        <v>256378.40000000002</v>
      </c>
      <c r="AG177" s="4">
        <f>'6.1 Investissements'!AG182</f>
        <v>402753.39999999997</v>
      </c>
      <c r="AH177" s="4">
        <f>'6.1 Investissements'!AH182</f>
        <v>3937.6500000000233</v>
      </c>
      <c r="AI177" s="4">
        <f>'6.1 Investissements'!AI182</f>
        <v>9496.5499999999993</v>
      </c>
      <c r="AJ177" s="4">
        <f>'6.1 Investissements'!AJ182</f>
        <v>326865</v>
      </c>
      <c r="AK177" s="4">
        <f>'6.1 Investissements'!AK182</f>
        <v>2035877.68</v>
      </c>
      <c r="AL177" s="4">
        <f>'6.1 Investissements'!AL182</f>
        <v>713644.6</v>
      </c>
      <c r="AM177" s="4">
        <f>'6.1 Investissements'!AM182</f>
        <v>332171.75</v>
      </c>
      <c r="AN177" s="4">
        <f>'6.1 Investissements'!AN182</f>
        <v>562754</v>
      </c>
      <c r="AO177" s="4">
        <f>'6.1 Investissements'!AO182</f>
        <v>989111.14999999991</v>
      </c>
      <c r="AP177" s="4">
        <f>'6.1 Investissements'!AP182</f>
        <v>390825.24999999994</v>
      </c>
      <c r="AQ177" s="4">
        <f>'6.1 Investissements'!AQ182</f>
        <v>39386.100000000006</v>
      </c>
      <c r="AR177" s="4">
        <f>'6.1 Investissements'!AR182</f>
        <v>757217.90000000037</v>
      </c>
      <c r="AS177" s="4">
        <f>'6.1 Investissements'!AS182</f>
        <v>-81659.450000000012</v>
      </c>
      <c r="AT177" s="4">
        <f>'6.1 Investissements'!AT182</f>
        <v>183289.8</v>
      </c>
      <c r="AU177" s="4">
        <f>'6.1 Investissements'!AU182</f>
        <v>191917.3</v>
      </c>
      <c r="AV177" s="4">
        <f>'6.1 Investissements'!AV182</f>
        <v>606274.71000000008</v>
      </c>
      <c r="AW177" s="4">
        <f>'6.1 Investissements'!AW182</f>
        <v>53025.600000000006</v>
      </c>
      <c r="AX177" s="4">
        <f>'6.1 Investissements'!AX182</f>
        <v>49000</v>
      </c>
      <c r="AY177" s="4">
        <f>'6.1 Investissements'!AY182</f>
        <v>0</v>
      </c>
      <c r="AZ177" s="4">
        <f>'6.1 Investissements'!AZ182</f>
        <v>281.59999999999854</v>
      </c>
      <c r="BA177" s="4">
        <f>'6.1 Investissements'!BA182</f>
        <v>478773.55000000005</v>
      </c>
      <c r="BB177" s="4">
        <f>'6.1 Investissements'!BB182</f>
        <v>349925.75000000006</v>
      </c>
      <c r="BC177" s="4">
        <f>'6.1 Investissements'!BC182</f>
        <v>0</v>
      </c>
      <c r="BD177" s="4">
        <f>'6.1 Investissements'!BD182</f>
        <v>562904.31999999983</v>
      </c>
      <c r="BE177" s="4">
        <f>'6.1 Investissements'!BE182</f>
        <v>6219.65</v>
      </c>
      <c r="BF177" s="4">
        <f>'6.1 Investissements'!BF182</f>
        <v>36028775.899999999</v>
      </c>
      <c r="BG177" s="4">
        <f>'6.1 Investissements'!BG182</f>
        <v>26605792.979999997</v>
      </c>
      <c r="BH177" s="4">
        <f>'6.1 Investissements'!BH182</f>
        <v>1202041.6600000011</v>
      </c>
      <c r="BI177" s="4">
        <f>'6.1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8">
        <f t="shared" si="111"/>
        <v>5400</v>
      </c>
      <c r="J179" s="61">
        <f t="shared" si="111"/>
        <v>0</v>
      </c>
      <c r="K179" s="198">
        <f t="shared" si="111"/>
        <v>16855.350000000006</v>
      </c>
      <c r="L179" s="61">
        <f t="shared" si="111"/>
        <v>-15853.609999999404</v>
      </c>
      <c r="M179" s="61">
        <f t="shared" si="111"/>
        <v>0</v>
      </c>
      <c r="N179" s="61">
        <f t="shared" si="111"/>
        <v>0</v>
      </c>
      <c r="O179" s="61">
        <f t="shared" si="111"/>
        <v>0</v>
      </c>
      <c r="P179" s="198">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4"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4"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1"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6">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8">
        <v>1975551.27</v>
      </c>
      <c r="Q217" s="4"/>
      <c r="R217" s="4"/>
      <c r="S217" s="80">
        <f>SUM(F217:R217)</f>
        <v>15815520.170000002</v>
      </c>
      <c r="T217">
        <v>215</v>
      </c>
    </row>
    <row r="218" spans="3:20" x14ac:dyDescent="0.25">
      <c r="F218" s="4"/>
      <c r="G218" s="4"/>
      <c r="H218" s="4"/>
      <c r="I218" s="199"/>
      <c r="J218" s="4"/>
      <c r="K218" s="4"/>
      <c r="L218" s="4"/>
      <c r="M218" s="4"/>
      <c r="N218" s="4"/>
      <c r="O218" s="4"/>
      <c r="P218" s="153"/>
      <c r="Q218" s="4"/>
      <c r="R218" s="4"/>
      <c r="S218" s="80"/>
      <c r="T218">
        <v>216</v>
      </c>
    </row>
    <row r="219" spans="3:20" x14ac:dyDescent="0.25">
      <c r="C219" s="160"/>
      <c r="D219" s="160"/>
      <c r="E219" s="160"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3">
        <f>F4-F120</f>
        <v>0</v>
      </c>
      <c r="G225" s="153">
        <f t="shared" ref="G225:S225" si="55">G4-G120</f>
        <v>0</v>
      </c>
      <c r="H225" s="153">
        <f t="shared" si="55"/>
        <v>0</v>
      </c>
      <c r="I225" s="153">
        <f t="shared" si="55"/>
        <v>0</v>
      </c>
      <c r="J225" s="153">
        <f t="shared" si="55"/>
        <v>0</v>
      </c>
      <c r="K225" s="153">
        <f t="shared" si="55"/>
        <v>0</v>
      </c>
      <c r="L225" s="153">
        <f t="shared" si="55"/>
        <v>0</v>
      </c>
      <c r="M225" s="153">
        <f t="shared" si="55"/>
        <v>0</v>
      </c>
      <c r="N225" s="153">
        <f t="shared" si="55"/>
        <v>0</v>
      </c>
      <c r="O225" s="153">
        <f t="shared" si="55"/>
        <v>0</v>
      </c>
      <c r="P225" s="153">
        <f t="shared" si="55"/>
        <v>0</v>
      </c>
      <c r="Q225" s="153">
        <f t="shared" si="55"/>
        <v>0</v>
      </c>
      <c r="R225" s="153">
        <f t="shared" si="55"/>
        <v>0</v>
      </c>
      <c r="S225" s="153">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4" t="s">
        <v>56</v>
      </c>
    </row>
    <row r="7" spans="1:6" ht="21" x14ac:dyDescent="0.35">
      <c r="A7" s="73">
        <v>1</v>
      </c>
      <c r="B7" s="73"/>
      <c r="C7" s="73"/>
      <c r="D7" s="73"/>
      <c r="E7" s="73" t="s">
        <v>246</v>
      </c>
      <c r="F7" s="175">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7">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0"/>
      <c r="D222" s="160"/>
      <c r="E222" s="160"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3" t="s">
        <v>778</v>
      </c>
      <c r="B2" s="7"/>
    </row>
    <row r="3" spans="1:16" ht="15" customHeight="1" x14ac:dyDescent="0.25">
      <c r="A3" s="7"/>
      <c r="B3" s="7"/>
    </row>
    <row r="4" spans="1:16" ht="15" customHeight="1" x14ac:dyDescent="0.4">
      <c r="A4" s="42"/>
      <c r="B4" s="7"/>
    </row>
    <row r="5" spans="1:16" x14ac:dyDescent="0.25">
      <c r="A5" s="184"/>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0">
        <f>C11+C13+C15-C17</f>
        <v>3081680.2</v>
      </c>
      <c r="D20" s="180">
        <f t="shared" ref="D20:O20" si="0">D11+D13+D15-D17</f>
        <v>0</v>
      </c>
      <c r="E20" s="180">
        <f t="shared" si="0"/>
        <v>291425.59999999998</v>
      </c>
      <c r="F20" s="180">
        <f t="shared" si="0"/>
        <v>0</v>
      </c>
      <c r="G20" s="180">
        <f t="shared" si="0"/>
        <v>410794.05</v>
      </c>
      <c r="H20" s="180">
        <f t="shared" si="0"/>
        <v>3427101.65</v>
      </c>
      <c r="I20" s="180">
        <f t="shared" si="0"/>
        <v>0</v>
      </c>
      <c r="J20" s="180">
        <f t="shared" si="0"/>
        <v>0</v>
      </c>
      <c r="K20" s="180">
        <f t="shared" si="0"/>
        <v>0</v>
      </c>
      <c r="L20" s="180">
        <f t="shared" si="0"/>
        <v>0</v>
      </c>
      <c r="M20" s="180">
        <f t="shared" si="0"/>
        <v>0</v>
      </c>
      <c r="N20" s="180">
        <f t="shared" si="0"/>
        <v>0</v>
      </c>
      <c r="O20" s="180">
        <f t="shared" si="0"/>
        <v>0</v>
      </c>
      <c r="P20" s="180">
        <f>SUM(C20:O20)</f>
        <v>7211001.5</v>
      </c>
    </row>
    <row r="21" spans="1:16" x14ac:dyDescent="0.25">
      <c r="A21" s="67"/>
      <c r="B21" s="7"/>
      <c r="C21" s="181"/>
      <c r="D21" s="181"/>
      <c r="E21" s="181"/>
      <c r="F21" s="181"/>
      <c r="G21" s="181"/>
      <c r="H21" s="181"/>
      <c r="I21" s="181"/>
      <c r="J21" s="181"/>
      <c r="K21" s="181"/>
      <c r="L21" s="181"/>
      <c r="M21" s="181"/>
      <c r="N21" s="181"/>
      <c r="O21" s="181"/>
      <c r="P21" s="181"/>
    </row>
    <row r="22" spans="1:16" x14ac:dyDescent="0.25">
      <c r="A22" s="67"/>
      <c r="B22" s="99" t="s">
        <v>509</v>
      </c>
      <c r="C22" s="180">
        <f t="shared" ref="C22:O22" si="1">C9-C7</f>
        <v>-5153658.6999999993</v>
      </c>
      <c r="D22" s="180">
        <f t="shared" si="1"/>
        <v>0</v>
      </c>
      <c r="E22" s="180">
        <f t="shared" si="1"/>
        <v>-100196.82</v>
      </c>
      <c r="F22" s="180">
        <f t="shared" si="1"/>
        <v>-274399.86000000004</v>
      </c>
      <c r="G22" s="180">
        <f t="shared" si="1"/>
        <v>-696064.59</v>
      </c>
      <c r="H22" s="180">
        <f t="shared" si="1"/>
        <v>-27565738.919999998</v>
      </c>
      <c r="I22" s="180">
        <f t="shared" si="1"/>
        <v>0</v>
      </c>
      <c r="J22" s="180">
        <f t="shared" si="1"/>
        <v>0</v>
      </c>
      <c r="K22" s="180">
        <f t="shared" si="1"/>
        <v>0</v>
      </c>
      <c r="L22" s="180">
        <f t="shared" si="1"/>
        <v>0</v>
      </c>
      <c r="M22" s="180">
        <f t="shared" si="1"/>
        <v>-1273171</v>
      </c>
      <c r="N22" s="180">
        <f t="shared" si="1"/>
        <v>0</v>
      </c>
      <c r="O22" s="180">
        <f t="shared" si="1"/>
        <v>0</v>
      </c>
      <c r="P22" s="180">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6" t="s">
        <v>780</v>
      </c>
    </row>
    <row r="4" spans="1:3" ht="15" customHeight="1" thickBot="1" x14ac:dyDescent="0.45">
      <c r="A4" s="42"/>
      <c r="B4" s="179" t="s">
        <v>28</v>
      </c>
    </row>
    <row r="5" spans="1:3" ht="15" customHeight="1" x14ac:dyDescent="0.25">
      <c r="C5" s="65"/>
    </row>
    <row r="6" spans="1:3" ht="15" customHeight="1" x14ac:dyDescent="0.25">
      <c r="C6" s="182"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09"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09"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1"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4" t="s">
        <v>28</v>
      </c>
    </row>
    <row r="7" spans="1:5" ht="21" x14ac:dyDescent="0.35">
      <c r="A7" s="102">
        <v>5</v>
      </c>
      <c r="B7" s="102"/>
      <c r="C7" s="102"/>
      <c r="D7" s="102" t="s">
        <v>193</v>
      </c>
      <c r="E7" s="185">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6">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8" t="s">
        <v>225</v>
      </c>
      <c r="E185" s="189">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2"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3"/>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3">
        <f t="shared" ref="E162:N162" si="111">E157-E161</f>
        <v>0</v>
      </c>
      <c r="F162" s="153">
        <f t="shared" si="111"/>
        <v>0</v>
      </c>
      <c r="G162" s="153">
        <f t="shared" si="111"/>
        <v>0</v>
      </c>
      <c r="H162" s="153">
        <f t="shared" si="111"/>
        <v>0</v>
      </c>
      <c r="I162" s="153">
        <f t="shared" si="111"/>
        <v>0</v>
      </c>
      <c r="J162" s="153">
        <f t="shared" si="111"/>
        <v>0</v>
      </c>
      <c r="K162" s="153">
        <f t="shared" si="111"/>
        <v>0</v>
      </c>
      <c r="L162" s="153">
        <f t="shared" si="111"/>
        <v>0</v>
      </c>
      <c r="M162" s="153">
        <f t="shared" si="111"/>
        <v>0</v>
      </c>
      <c r="N162" s="153">
        <f t="shared" si="111"/>
        <v>0</v>
      </c>
      <c r="O162" s="153">
        <f>O157-O161</f>
        <v>0</v>
      </c>
      <c r="P162" s="153">
        <f t="shared" ref="P162:BI162" si="112">P157-P161</f>
        <v>0</v>
      </c>
      <c r="Q162" s="153">
        <f t="shared" si="112"/>
        <v>0</v>
      </c>
      <c r="R162" s="153">
        <f t="shared" si="112"/>
        <v>0</v>
      </c>
      <c r="S162" s="153">
        <f t="shared" si="112"/>
        <v>0</v>
      </c>
      <c r="T162" s="153">
        <f t="shared" si="112"/>
        <v>0</v>
      </c>
      <c r="U162" s="153">
        <f t="shared" si="112"/>
        <v>0</v>
      </c>
      <c r="V162" s="153">
        <f t="shared" si="112"/>
        <v>0</v>
      </c>
      <c r="W162" s="153">
        <f t="shared" si="112"/>
        <v>0</v>
      </c>
      <c r="X162" s="153">
        <f t="shared" si="112"/>
        <v>0</v>
      </c>
      <c r="Y162" s="153">
        <f t="shared" si="112"/>
        <v>0</v>
      </c>
      <c r="Z162" s="153">
        <f t="shared" si="112"/>
        <v>0</v>
      </c>
      <c r="AA162" s="153">
        <f t="shared" si="112"/>
        <v>0</v>
      </c>
      <c r="AB162" s="153">
        <f t="shared" si="112"/>
        <v>0</v>
      </c>
      <c r="AC162" s="153">
        <f t="shared" si="112"/>
        <v>0</v>
      </c>
      <c r="AD162" s="153">
        <f t="shared" si="112"/>
        <v>0</v>
      </c>
      <c r="AE162" s="153">
        <f t="shared" si="112"/>
        <v>0</v>
      </c>
      <c r="AF162" s="153">
        <f t="shared" si="112"/>
        <v>0</v>
      </c>
      <c r="AG162" s="153">
        <f t="shared" si="112"/>
        <v>0</v>
      </c>
      <c r="AH162" s="153">
        <f t="shared" si="112"/>
        <v>0</v>
      </c>
      <c r="AI162" s="153">
        <f t="shared" si="112"/>
        <v>0</v>
      </c>
      <c r="AJ162" s="153">
        <f t="shared" si="112"/>
        <v>0</v>
      </c>
      <c r="AK162" s="153">
        <f t="shared" si="112"/>
        <v>0</v>
      </c>
      <c r="AL162" s="153">
        <f t="shared" si="112"/>
        <v>0</v>
      </c>
      <c r="AM162" s="153">
        <f t="shared" si="112"/>
        <v>0</v>
      </c>
      <c r="AN162" s="153">
        <f t="shared" si="112"/>
        <v>0</v>
      </c>
      <c r="AO162" s="153">
        <f t="shared" si="112"/>
        <v>0</v>
      </c>
      <c r="AP162" s="153">
        <f t="shared" si="112"/>
        <v>0</v>
      </c>
      <c r="AQ162" s="153">
        <f t="shared" si="112"/>
        <v>0</v>
      </c>
      <c r="AR162" s="153">
        <f t="shared" si="112"/>
        <v>0</v>
      </c>
      <c r="AS162" s="153">
        <f t="shared" si="112"/>
        <v>0</v>
      </c>
      <c r="AT162" s="153">
        <f t="shared" si="112"/>
        <v>0</v>
      </c>
      <c r="AU162" s="153">
        <f t="shared" si="112"/>
        <v>0</v>
      </c>
      <c r="AV162" s="153">
        <f t="shared" si="112"/>
        <v>0</v>
      </c>
      <c r="AW162" s="153">
        <f t="shared" si="112"/>
        <v>0</v>
      </c>
      <c r="AX162" s="153">
        <f t="shared" si="112"/>
        <v>0</v>
      </c>
      <c r="AY162" s="153">
        <f t="shared" si="112"/>
        <v>0</v>
      </c>
      <c r="AZ162" s="153">
        <f t="shared" si="112"/>
        <v>0</v>
      </c>
      <c r="BA162" s="153">
        <f t="shared" si="112"/>
        <v>0</v>
      </c>
      <c r="BB162" s="153">
        <f t="shared" si="112"/>
        <v>0</v>
      </c>
      <c r="BC162" s="153">
        <f t="shared" si="112"/>
        <v>0</v>
      </c>
      <c r="BD162" s="153">
        <f t="shared" si="112"/>
        <v>0</v>
      </c>
      <c r="BE162" s="153">
        <f t="shared" si="112"/>
        <v>0</v>
      </c>
      <c r="BF162" s="153">
        <f t="shared" si="112"/>
        <v>0</v>
      </c>
      <c r="BG162" s="153">
        <f t="shared" si="112"/>
        <v>0</v>
      </c>
      <c r="BH162" s="153">
        <f t="shared" si="112"/>
        <v>0</v>
      </c>
      <c r="BI162" s="153">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8">
        <f t="shared" si="113"/>
        <v>0</v>
      </c>
      <c r="J164" s="61">
        <f t="shared" si="113"/>
        <v>0</v>
      </c>
      <c r="K164" s="198">
        <f t="shared" si="113"/>
        <v>0</v>
      </c>
      <c r="L164" s="61">
        <f t="shared" si="113"/>
        <v>0</v>
      </c>
      <c r="M164" s="61">
        <f t="shared" si="113"/>
        <v>0</v>
      </c>
      <c r="N164" s="61">
        <f t="shared" si="113"/>
        <v>0</v>
      </c>
      <c r="O164" s="61">
        <f t="shared" si="113"/>
        <v>0</v>
      </c>
      <c r="P164" s="198">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4" t="s">
        <v>27</v>
      </c>
    </row>
    <row r="7" spans="1:5" x14ac:dyDescent="0.25">
      <c r="E7" s="65" t="s">
        <v>205</v>
      </c>
    </row>
    <row r="8" spans="1:5" ht="21" x14ac:dyDescent="0.35">
      <c r="A8" s="92">
        <v>3</v>
      </c>
      <c r="B8" s="92"/>
      <c r="C8" s="92"/>
      <c r="D8" s="92" t="s">
        <v>60</v>
      </c>
      <c r="E8" s="171">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2">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1"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6"/>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0">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3"/>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0"/>
      <c r="D222" s="160"/>
      <c r="E222" s="160" t="s">
        <v>602</v>
      </c>
      <c r="F222" s="178"/>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4" t="s">
        <v>784</v>
      </c>
    </row>
    <row r="2" spans="1:3" ht="15.75" x14ac:dyDescent="0.25">
      <c r="A2" s="204"/>
    </row>
    <row r="3" spans="1:3" x14ac:dyDescent="0.25">
      <c r="A3" t="s">
        <v>67</v>
      </c>
      <c r="B3" s="156" t="s">
        <v>785</v>
      </c>
      <c r="C3" s="156" t="s">
        <v>786</v>
      </c>
    </row>
    <row r="4" spans="1:3" x14ac:dyDescent="0.25">
      <c r="A4" s="205" t="s">
        <v>56</v>
      </c>
      <c r="B4" s="101">
        <f>'4.1 Comptes 2020 natures'!AZ153</f>
        <v>79042.83</v>
      </c>
      <c r="C4" s="101">
        <f>'4.9 Comptes 2020 par habitant'!E153</f>
        <v>366.27193932827737</v>
      </c>
    </row>
    <row r="5" spans="1:3" x14ac:dyDescent="0.25">
      <c r="A5" s="205" t="s">
        <v>18</v>
      </c>
      <c r="B5" s="101">
        <f>'4.1 Comptes 2020 natures'!F153</f>
        <v>183367.53000000003</v>
      </c>
      <c r="C5" s="101">
        <f>'4.9 Comptes 2020 par habitant'!F153</f>
        <v>679.13900000000012</v>
      </c>
    </row>
    <row r="6" spans="1:3" x14ac:dyDescent="0.25">
      <c r="A6" s="205" t="s">
        <v>57</v>
      </c>
      <c r="B6" s="101">
        <f>'4.1 Comptes 2020 natures'!G153</f>
        <v>-29321.279999999999</v>
      </c>
      <c r="C6" s="101">
        <f>'4.9 Comptes 2020 par habitant'!G153</f>
        <v>-60.456247422680406</v>
      </c>
    </row>
    <row r="7" spans="1:3" x14ac:dyDescent="0.25">
      <c r="A7" s="205" t="s">
        <v>53</v>
      </c>
      <c r="B7" s="101">
        <f>'4.1 Comptes 2020 natures'!H153</f>
        <v>21653.66</v>
      </c>
      <c r="C7" s="101">
        <f>'4.9 Comptes 2020 par habitant'!H153</f>
        <v>48.550807174887893</v>
      </c>
    </row>
    <row r="8" spans="1:3" x14ac:dyDescent="0.25">
      <c r="A8" s="205" t="s">
        <v>33</v>
      </c>
      <c r="B8" s="101">
        <f>'4.1 Comptes 2020 natures'!I153</f>
        <v>461623.62999999995</v>
      </c>
      <c r="C8" s="101">
        <f>'4.9 Comptes 2020 par habitant'!I153</f>
        <v>127.13402093087302</v>
      </c>
    </row>
    <row r="9" spans="1:3" x14ac:dyDescent="0.25">
      <c r="A9" s="205" t="s">
        <v>10</v>
      </c>
      <c r="B9" s="101">
        <f>'4.1 Comptes 2020 natures'!J153</f>
        <v>1051215.94</v>
      </c>
      <c r="C9" s="101">
        <f>'4.9 Comptes 2020 par habitant'!J153</f>
        <v>317.30031391488075</v>
      </c>
    </row>
    <row r="10" spans="1:3" x14ac:dyDescent="0.25">
      <c r="A10" s="205" t="s">
        <v>15</v>
      </c>
      <c r="B10" s="101">
        <f>'4.1 Comptes 2020 natures'!K153</f>
        <v>253856.48</v>
      </c>
      <c r="C10" s="101">
        <f>'4.9 Comptes 2020 par habitant'!K153</f>
        <v>96.012284417549182</v>
      </c>
    </row>
    <row r="11" spans="1:3" x14ac:dyDescent="0.25">
      <c r="A11" s="205" t="s">
        <v>28</v>
      </c>
      <c r="B11" s="101">
        <f>'4.1 Comptes 2020 natures'!L153</f>
        <v>2089673.1800000002</v>
      </c>
      <c r="C11" s="101">
        <f>'4.9 Comptes 2020 par habitant'!L153</f>
        <v>165.61049136154702</v>
      </c>
    </row>
    <row r="12" spans="1:3" x14ac:dyDescent="0.25">
      <c r="A12" s="205" t="s">
        <v>42</v>
      </c>
      <c r="B12" s="101">
        <f>'4.1 Comptes 2020 natures'!M153</f>
        <v>-1352.8600000000151</v>
      </c>
      <c r="C12" s="101">
        <f>'4.9 Comptes 2020 par habitant'!M153</f>
        <v>-0.98676878191102446</v>
      </c>
    </row>
    <row r="13" spans="1:3" x14ac:dyDescent="0.25">
      <c r="A13" s="205" t="s">
        <v>23</v>
      </c>
      <c r="B13" s="101">
        <f>'4.1 Comptes 2020 natures'!N153</f>
        <v>-63918.92</v>
      </c>
      <c r="C13" s="101">
        <f>'4.9 Comptes 2020 par habitant'!N153</f>
        <v>-541.68576271186441</v>
      </c>
    </row>
    <row r="14" spans="1:3" x14ac:dyDescent="0.25">
      <c r="A14" s="205" t="s">
        <v>22</v>
      </c>
      <c r="B14" s="101">
        <f>'4.1 Comptes 2020 natures'!O153</f>
        <v>-1177403.47</v>
      </c>
      <c r="C14" s="101">
        <f>'4.9 Comptes 2020 par habitant'!O153</f>
        <v>-164.281215292312</v>
      </c>
    </row>
    <row r="15" spans="1:3" x14ac:dyDescent="0.25">
      <c r="A15" s="205" t="s">
        <v>13</v>
      </c>
      <c r="B15" s="101">
        <f>'4.1 Comptes 2020 natures'!P153</f>
        <v>-93731.8</v>
      </c>
      <c r="C15" s="101">
        <f>'4.9 Comptes 2020 par habitant'!P153</f>
        <v>-177.52234848484849</v>
      </c>
    </row>
    <row r="16" spans="1:3" x14ac:dyDescent="0.25">
      <c r="A16" s="205" t="s">
        <v>17</v>
      </c>
      <c r="B16" s="101">
        <f>'4.1 Comptes 2020 natures'!Q153</f>
        <v>-9460.8100000000013</v>
      </c>
      <c r="C16" s="101">
        <f>'4.9 Comptes 2020 par habitant'!Q153</f>
        <v>-87.600092592592631</v>
      </c>
    </row>
    <row r="17" spans="1:3" x14ac:dyDescent="0.25">
      <c r="A17" s="205" t="s">
        <v>43</v>
      </c>
      <c r="B17" s="101">
        <f>'4.1 Comptes 2020 natures'!R153</f>
        <v>-16853.579999999998</v>
      </c>
      <c r="C17" s="101">
        <f>'4.9 Comptes 2020 par habitant'!R153</f>
        <v>-40.611036144578307</v>
      </c>
    </row>
    <row r="18" spans="1:3" x14ac:dyDescent="0.25">
      <c r="A18" s="205" t="s">
        <v>40</v>
      </c>
      <c r="B18" s="101">
        <f>'4.1 Comptes 2020 natures'!S153</f>
        <v>-13071.369999999995</v>
      </c>
      <c r="C18" s="101">
        <f>'4.9 Comptes 2020 par habitant'!S153</f>
        <v>-37.453782234956975</v>
      </c>
    </row>
    <row r="19" spans="1:3" x14ac:dyDescent="0.25">
      <c r="A19" s="205" t="s">
        <v>31</v>
      </c>
      <c r="B19" s="101">
        <f>'4.1 Comptes 2020 natures'!T153</f>
        <v>262757.42</v>
      </c>
      <c r="C19" s="101">
        <f>'4.9 Comptes 2020 par habitant'!T153</f>
        <v>382.47077147016012</v>
      </c>
    </row>
    <row r="20" spans="1:3" x14ac:dyDescent="0.25">
      <c r="A20" s="205" t="s">
        <v>12</v>
      </c>
      <c r="B20" s="101">
        <f>'4.1 Comptes 2020 natures'!U153</f>
        <v>9048.7099999999991</v>
      </c>
      <c r="C20" s="101">
        <f>'4.9 Comptes 2020 par habitant'!U153</f>
        <v>35.485137254901964</v>
      </c>
    </row>
    <row r="21" spans="1:3" x14ac:dyDescent="0.25">
      <c r="A21" s="205" t="s">
        <v>59</v>
      </c>
      <c r="B21" s="101">
        <f>'4.1 Comptes 2020 natures'!V153</f>
        <v>-152377.16</v>
      </c>
      <c r="C21" s="101">
        <f>'4.9 Comptes 2020 par habitant'!V153</f>
        <v>-349.48889908256882</v>
      </c>
    </row>
    <row r="22" spans="1:3" x14ac:dyDescent="0.25">
      <c r="A22" s="205" t="s">
        <v>27</v>
      </c>
      <c r="B22" s="101">
        <f>'4.1 Comptes 2020 natures'!W153</f>
        <v>364711.41000000003</v>
      </c>
      <c r="C22" s="101">
        <f>'4.9 Comptes 2020 par habitant'!W153</f>
        <v>114.32959561128527</v>
      </c>
    </row>
    <row r="23" spans="1:3" x14ac:dyDescent="0.25">
      <c r="A23" s="205" t="s">
        <v>30</v>
      </c>
      <c r="B23" s="101">
        <f>'4.1 Comptes 2020 natures'!X153</f>
        <v>26286.14</v>
      </c>
      <c r="C23" s="101">
        <f>'4.9 Comptes 2020 par habitant'!X153</f>
        <v>81.130061728395063</v>
      </c>
    </row>
    <row r="24" spans="1:3" x14ac:dyDescent="0.25">
      <c r="A24" s="205" t="s">
        <v>20</v>
      </c>
      <c r="B24" s="101">
        <f>'4.1 Comptes 2020 natures'!Y153</f>
        <v>178997.68</v>
      </c>
      <c r="C24" s="101">
        <f>'4.9 Comptes 2020 par habitant'!Y153</f>
        <v>143.65784911717495</v>
      </c>
    </row>
    <row r="25" spans="1:3" x14ac:dyDescent="0.25">
      <c r="A25" s="205" t="s">
        <v>45</v>
      </c>
      <c r="B25" s="101">
        <f>'4.1 Comptes 2020 natures'!Z153</f>
        <v>3517719.9899999998</v>
      </c>
      <c r="C25" s="101">
        <f>'4.9 Comptes 2020 par habitant'!Z153</f>
        <v>2302.1727683246072</v>
      </c>
    </row>
    <row r="26" spans="1:3" x14ac:dyDescent="0.25">
      <c r="A26" s="205" t="s">
        <v>71</v>
      </c>
      <c r="B26" s="101">
        <f>'4.1 Comptes 2020 natures'!AA153</f>
        <v>-11170.27</v>
      </c>
      <c r="C26" s="101">
        <f>'4.9 Comptes 2020 par habitant'!AA153</f>
        <v>-116.35697916666668</v>
      </c>
    </row>
    <row r="27" spans="1:3" x14ac:dyDescent="0.25">
      <c r="A27" s="205" t="s">
        <v>39</v>
      </c>
      <c r="B27" s="101">
        <f>'4.1 Comptes 2020 natures'!AB153</f>
        <v>41421.78</v>
      </c>
      <c r="C27" s="101">
        <f>'4.9 Comptes 2020 par habitant'!AB153</f>
        <v>277.99852348993289</v>
      </c>
    </row>
    <row r="28" spans="1:3" x14ac:dyDescent="0.25">
      <c r="A28" s="205" t="s">
        <v>19</v>
      </c>
      <c r="B28" s="101">
        <f>'4.1 Comptes 2020 natures'!AC153</f>
        <v>-114596.97</v>
      </c>
      <c r="C28" s="101">
        <f>'4.9 Comptes 2020 par habitant'!AC153</f>
        <v>-222.08715116279069</v>
      </c>
    </row>
    <row r="29" spans="1:3" x14ac:dyDescent="0.25">
      <c r="A29" s="205" t="s">
        <v>41</v>
      </c>
      <c r="B29" s="101">
        <f>'4.1 Comptes 2020 natures'!AD153</f>
        <v>-99000.459999999992</v>
      </c>
      <c r="C29" s="101">
        <f>'4.9 Comptes 2020 par habitant'!AD153</f>
        <v>-147.54166915052161</v>
      </c>
    </row>
    <row r="30" spans="1:3" x14ac:dyDescent="0.25">
      <c r="A30" s="205" t="s">
        <v>36</v>
      </c>
      <c r="B30" s="101">
        <f>'4.1 Comptes 2020 natures'!AE153</f>
        <v>-194273.68</v>
      </c>
      <c r="C30" s="101">
        <f>'4.9 Comptes 2020 par habitant'!AE153</f>
        <v>-339.63930069930069</v>
      </c>
    </row>
    <row r="31" spans="1:3" x14ac:dyDescent="0.25">
      <c r="A31" s="205" t="s">
        <v>7</v>
      </c>
      <c r="B31" s="101">
        <f>'4.1 Comptes 2020 natures'!AF153</f>
        <v>122538.76</v>
      </c>
      <c r="C31" s="101">
        <f>'4.9 Comptes 2020 par habitant'!AF153</f>
        <v>250.07910204081634</v>
      </c>
    </row>
    <row r="32" spans="1:3" x14ac:dyDescent="0.25">
      <c r="A32" s="205" t="s">
        <v>55</v>
      </c>
      <c r="B32" s="101">
        <f>'4.1 Comptes 2020 natures'!AG153</f>
        <v>1107210.3</v>
      </c>
      <c r="C32" s="101">
        <f>'4.9 Comptes 2020 par habitant'!AG153</f>
        <v>578.47978056426336</v>
      </c>
    </row>
    <row r="33" spans="1:3" x14ac:dyDescent="0.25">
      <c r="A33" s="205" t="s">
        <v>21</v>
      </c>
      <c r="B33" s="101">
        <f>'4.1 Comptes 2020 natures'!AH153</f>
        <v>243887.35</v>
      </c>
      <c r="C33" s="101">
        <f>'4.9 Comptes 2020 par habitant'!AH153</f>
        <v>93.264760994263867</v>
      </c>
    </row>
    <row r="34" spans="1:3" x14ac:dyDescent="0.25">
      <c r="A34" s="205" t="s">
        <v>6</v>
      </c>
      <c r="B34" s="101">
        <f>'4.1 Comptes 2020 natures'!AI153</f>
        <v>-5355.96</v>
      </c>
      <c r="C34" s="101">
        <f>'4.9 Comptes 2020 par habitant'!AI153</f>
        <v>-23.594537444933923</v>
      </c>
    </row>
    <row r="35" spans="1:3" x14ac:dyDescent="0.25">
      <c r="A35" s="205" t="s">
        <v>34</v>
      </c>
      <c r="B35" s="101">
        <f>'4.1 Comptes 2020 natures'!AJ153</f>
        <v>22586.400000000001</v>
      </c>
      <c r="C35" s="101">
        <f>'4.9 Comptes 2020 par habitant'!AJ153</f>
        <v>172.41526717557252</v>
      </c>
    </row>
    <row r="36" spans="1:3" x14ac:dyDescent="0.25">
      <c r="A36" s="205" t="s">
        <v>52</v>
      </c>
      <c r="B36" s="101">
        <f>'4.1 Comptes 2020 natures'!AK153</f>
        <v>153720</v>
      </c>
      <c r="C36" s="101">
        <f>'4.9 Comptes 2020 par habitant'!AK153</f>
        <v>81.118733509234829</v>
      </c>
    </row>
    <row r="37" spans="1:3" x14ac:dyDescent="0.25">
      <c r="A37" s="205" t="s">
        <v>14</v>
      </c>
      <c r="B37" s="101">
        <f>'4.1 Comptes 2020 natures'!AL153</f>
        <v>-32824.589999999997</v>
      </c>
      <c r="C37" s="101">
        <f>'4.9 Comptes 2020 par habitant'!AL153</f>
        <v>-28.920343612334797</v>
      </c>
    </row>
    <row r="38" spans="1:3" x14ac:dyDescent="0.25">
      <c r="A38" s="205" t="s">
        <v>32</v>
      </c>
      <c r="B38" s="101">
        <f>'4.1 Comptes 2020 natures'!AM153</f>
        <v>-5589.7700000000041</v>
      </c>
      <c r="C38" s="101">
        <f>'4.9 Comptes 2020 par habitant'!AM153</f>
        <v>-4.5042465753424636</v>
      </c>
    </row>
    <row r="39" spans="1:3" x14ac:dyDescent="0.25">
      <c r="A39" s="205" t="s">
        <v>29</v>
      </c>
      <c r="B39" s="101">
        <f>'4.1 Comptes 2020 natures'!AN153</f>
        <v>13711.05</v>
      </c>
      <c r="C39" s="101">
        <f>'4.9 Comptes 2020 par habitant'!AN153</f>
        <v>115.2189075630252</v>
      </c>
    </row>
    <row r="40" spans="1:3" x14ac:dyDescent="0.25">
      <c r="A40" s="205" t="s">
        <v>26</v>
      </c>
      <c r="B40" s="101">
        <f>'4.1 Comptes 2020 natures'!AO153</f>
        <v>341994.52</v>
      </c>
      <c r="C40" s="101">
        <f>'4.9 Comptes 2020 par habitant'!AO153</f>
        <v>286.18788284518831</v>
      </c>
    </row>
    <row r="41" spans="1:3" x14ac:dyDescent="0.25">
      <c r="A41" s="205" t="s">
        <v>48</v>
      </c>
      <c r="B41" s="101">
        <f>'4.1 Comptes 2020 natures'!AP153</f>
        <v>197653.74000000002</v>
      </c>
      <c r="C41" s="101">
        <f>'4.9 Comptes 2020 par habitant'!AP153</f>
        <v>298.12027149321273</v>
      </c>
    </row>
    <row r="42" spans="1:3" x14ac:dyDescent="0.25">
      <c r="A42" s="205" t="s">
        <v>44</v>
      </c>
      <c r="B42" s="101">
        <f>'4.1 Comptes 2020 natures'!AQ153</f>
        <v>23915.769999999997</v>
      </c>
      <c r="C42" s="101">
        <f>'4.9 Comptes 2020 par habitant'!AQ153</f>
        <v>37.078713178294571</v>
      </c>
    </row>
    <row r="43" spans="1:3" x14ac:dyDescent="0.25">
      <c r="A43" s="205" t="s">
        <v>37</v>
      </c>
      <c r="B43" s="101">
        <f>'4.1 Comptes 2020 natures'!AR153</f>
        <v>50671.79</v>
      </c>
      <c r="C43" s="101">
        <f>'4.9 Comptes 2020 par habitant'!AR153</f>
        <v>40.120182106096593</v>
      </c>
    </row>
    <row r="44" spans="1:3" x14ac:dyDescent="0.25">
      <c r="A44" s="205" t="s">
        <v>51</v>
      </c>
      <c r="B44" s="101">
        <f>'4.1 Comptes 2020 natures'!AS153</f>
        <v>52551.100000000006</v>
      </c>
      <c r="C44" s="101">
        <f>'4.9 Comptes 2020 par habitant'!AS153</f>
        <v>71.015000000000001</v>
      </c>
    </row>
    <row r="45" spans="1:3" x14ac:dyDescent="0.25">
      <c r="A45" s="205" t="s">
        <v>8</v>
      </c>
      <c r="B45" s="101">
        <f>'4.1 Comptes 2020 natures'!AT153</f>
        <v>35118.03</v>
      </c>
      <c r="C45" s="101">
        <f>'4.9 Comptes 2020 par habitant'!AT153</f>
        <v>34.161507782101168</v>
      </c>
    </row>
    <row r="46" spans="1:3" x14ac:dyDescent="0.25">
      <c r="A46" s="205" t="s">
        <v>24</v>
      </c>
      <c r="B46" s="101">
        <f>'4.1 Comptes 2020 natures'!AU153</f>
        <v>112815.42</v>
      </c>
      <c r="C46" s="101">
        <f>'4.9 Comptes 2020 par habitant'!AU153</f>
        <v>359.28477707006368</v>
      </c>
    </row>
    <row r="47" spans="1:3" x14ac:dyDescent="0.25">
      <c r="A47" s="205" t="s">
        <v>9</v>
      </c>
      <c r="B47" s="101">
        <f>'4.1 Comptes 2020 natures'!AV153</f>
        <v>-268507.58</v>
      </c>
      <c r="C47" s="101">
        <f>'4.9 Comptes 2020 par habitant'!AV153</f>
        <v>-111.87815833333333</v>
      </c>
    </row>
    <row r="48" spans="1:3" x14ac:dyDescent="0.25">
      <c r="A48" s="205" t="s">
        <v>62</v>
      </c>
      <c r="B48" s="101">
        <f>'4.1 Comptes 2020 natures'!AW153</f>
        <v>-9064.0300000000025</v>
      </c>
      <c r="C48" s="101">
        <f>'4.9 Comptes 2020 par habitant'!AW153</f>
        <v>-12.005337748344374</v>
      </c>
    </row>
    <row r="49" spans="1:3" x14ac:dyDescent="0.25">
      <c r="A49" s="205" t="s">
        <v>46</v>
      </c>
      <c r="B49" s="101">
        <f>'4.1 Comptes 2020 natures'!AX153</f>
        <v>29819.599999999999</v>
      </c>
      <c r="C49" s="101">
        <f>'4.9 Comptes 2020 par habitant'!AX153</f>
        <v>164.74917127071825</v>
      </c>
    </row>
    <row r="50" spans="1:3" x14ac:dyDescent="0.25">
      <c r="A50" s="205" t="s">
        <v>35</v>
      </c>
      <c r="B50" s="101">
        <f>'4.1 Comptes 2020 natures'!AY153</f>
        <v>73689.049999999988</v>
      </c>
      <c r="C50" s="101">
        <f>'4.9 Comptes 2020 par habitant'!AY153</f>
        <v>212.36037463976945</v>
      </c>
    </row>
    <row r="51" spans="1:3" x14ac:dyDescent="0.25">
      <c r="A51" s="205" t="s">
        <v>49</v>
      </c>
      <c r="B51" s="101">
        <f>'4.1 Comptes 2020 natures'!AZ153</f>
        <v>79042.83</v>
      </c>
      <c r="C51" s="101">
        <f>'4.9 Comptes 2020 par habitant'!AZ153</f>
        <v>46.770905325443792</v>
      </c>
    </row>
    <row r="52" spans="1:3" x14ac:dyDescent="0.25">
      <c r="A52" s="205" t="s">
        <v>47</v>
      </c>
      <c r="B52" s="101">
        <f>'4.1 Comptes 2020 natures'!BA153</f>
        <v>160878.04999999999</v>
      </c>
      <c r="C52" s="101">
        <f>'4.9 Comptes 2020 par habitant'!BA153</f>
        <v>415.70555555555558</v>
      </c>
    </row>
    <row r="53" spans="1:3" x14ac:dyDescent="0.25">
      <c r="A53" s="205" t="s">
        <v>58</v>
      </c>
      <c r="B53" s="101">
        <f>'4.1 Comptes 2020 natures'!BB153</f>
        <v>192186.95</v>
      </c>
      <c r="C53" s="101">
        <f>'4.9 Comptes 2020 par habitant'!BB153</f>
        <v>175.3530565693431</v>
      </c>
    </row>
    <row r="54" spans="1:3" x14ac:dyDescent="0.25">
      <c r="A54" s="205" t="s">
        <v>50</v>
      </c>
      <c r="B54" s="101">
        <f>'4.1 Comptes 2020 natures'!BC153</f>
        <v>-14911.230000000001</v>
      </c>
      <c r="C54" s="101">
        <f>'4.9 Comptes 2020 par habitant'!BC153</f>
        <v>-79.315053191489369</v>
      </c>
    </row>
    <row r="55" spans="1:3" x14ac:dyDescent="0.25">
      <c r="A55" s="205" t="s">
        <v>16</v>
      </c>
      <c r="B55" s="101">
        <f>'4.1 Comptes 2020 natures'!BD153</f>
        <v>1253727.51</v>
      </c>
      <c r="C55" s="101">
        <f>'4.9 Comptes 2020 par habitant'!BD153</f>
        <v>194.85973111594654</v>
      </c>
    </row>
    <row r="56" spans="1:3" x14ac:dyDescent="0.25">
      <c r="A56" s="205" t="s">
        <v>25</v>
      </c>
      <c r="B56" s="101">
        <f>'4.1 Comptes 2020 natures'!BE153</f>
        <v>49199.93</v>
      </c>
      <c r="C56" s="101">
        <f>'4.9 Comptes 2020 par habitant'!BE153</f>
        <v>87.857017857142864</v>
      </c>
    </row>
    <row r="57" spans="1:3" x14ac:dyDescent="0.25">
      <c r="A57" s="206" t="s">
        <v>65</v>
      </c>
      <c r="B57" s="101">
        <f>'4.1 Comptes 2020 natures'!BF153</f>
        <v>10804534.910000002</v>
      </c>
      <c r="C57" s="101">
        <f>'4.9 Comptes 2020 par habitant'!BF153</f>
        <v>6305.5353329471554</v>
      </c>
    </row>
    <row r="58" spans="1:3" x14ac:dyDescent="0.25">
      <c r="A58" s="206" t="s">
        <v>214</v>
      </c>
      <c r="B58" s="101">
        <f>'4.1 Comptes 2020 natures'!BG153</f>
        <v>3478485.71</v>
      </c>
      <c r="C58" s="101">
        <f>'4.9 Comptes 2020 par habitant'!BG153</f>
        <v>872.21820871604996</v>
      </c>
    </row>
    <row r="59" spans="1:3" x14ac:dyDescent="0.25">
      <c r="A59" s="206" t="s">
        <v>215</v>
      </c>
      <c r="B59" s="101">
        <f>'4.1 Comptes 2020 natures'!BH153</f>
        <v>4836251.0600000005</v>
      </c>
      <c r="C59" s="101">
        <f>'4.9 Comptes 2020 par habitant'!BH153</f>
        <v>3049.9784758108126</v>
      </c>
    </row>
    <row r="60" spans="1:3" x14ac:dyDescent="0.25">
      <c r="A60" s="206"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SUM(C21:BC21)</f>
        <v>396406.14147839695</v>
      </c>
      <c r="BE21" s="173">
        <f t="shared" si="0"/>
        <v>144861.82476393069</v>
      </c>
      <c r="BF21" s="173">
        <f t="shared" si="1"/>
        <v>88332.693126817394</v>
      </c>
      <c r="BG21" s="173">
        <f t="shared" si="2"/>
        <v>163211.62358764902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5">D9-D7</f>
        <v>1153471.1100000001</v>
      </c>
      <c r="E23" s="180">
        <f t="shared" si="5"/>
        <v>2152345.7399999993</v>
      </c>
      <c r="F23" s="180">
        <f t="shared" si="5"/>
        <v>279098.55999999959</v>
      </c>
      <c r="G23" s="180">
        <f t="shared" si="5"/>
        <v>11170166.720000001</v>
      </c>
      <c r="H23" s="180">
        <f t="shared" si="5"/>
        <v>16907788.280000001</v>
      </c>
      <c r="I23" s="180">
        <f t="shared" si="5"/>
        <v>1024849.9700000007</v>
      </c>
      <c r="J23" s="180">
        <f t="shared" si="5"/>
        <v>90861759.809999973</v>
      </c>
      <c r="K23" s="180">
        <f t="shared" si="5"/>
        <v>3075283.87</v>
      </c>
      <c r="L23" s="180">
        <f t="shared" si="5"/>
        <v>460672.40000000008</v>
      </c>
      <c r="M23" s="180">
        <f t="shared" si="5"/>
        <v>26943371.269999996</v>
      </c>
      <c r="N23" s="180">
        <f t="shared" si="5"/>
        <v>1367293.8900000001</v>
      </c>
      <c r="O23" s="180">
        <f t="shared" si="5"/>
        <v>245034.49999999994</v>
      </c>
      <c r="P23" s="180">
        <f t="shared" si="5"/>
        <v>1875698.62</v>
      </c>
      <c r="Q23" s="180">
        <f t="shared" si="5"/>
        <v>2088445.9300000002</v>
      </c>
      <c r="R23" s="180">
        <f t="shared" si="5"/>
        <v>205440.33000000101</v>
      </c>
      <c r="S23" s="180">
        <f t="shared" si="5"/>
        <v>266671.21000000008</v>
      </c>
      <c r="T23" s="180">
        <f t="shared" si="5"/>
        <v>1745113.8100000005</v>
      </c>
      <c r="U23" s="180">
        <f t="shared" si="5"/>
        <v>10830665.34</v>
      </c>
      <c r="V23" s="180">
        <f t="shared" si="5"/>
        <v>-1080510.5</v>
      </c>
      <c r="W23" s="180">
        <f t="shared" si="5"/>
        <v>7786577.9200000009</v>
      </c>
      <c r="X23" s="180">
        <f t="shared" si="5"/>
        <v>-9330221.8099999987</v>
      </c>
      <c r="Y23" s="180">
        <f t="shared" si="5"/>
        <v>135991.01</v>
      </c>
      <c r="Z23" s="180">
        <f t="shared" si="5"/>
        <v>-394266.68000000017</v>
      </c>
      <c r="AA23" s="180">
        <f t="shared" si="5"/>
        <v>795544.37999999942</v>
      </c>
      <c r="AB23" s="180">
        <f t="shared" si="5"/>
        <v>5398506.4100000011</v>
      </c>
      <c r="AC23" s="180">
        <f t="shared" si="5"/>
        <v>1285721.0300000003</v>
      </c>
      <c r="AD23" s="180">
        <f t="shared" si="5"/>
        <v>-3100962.9499999997</v>
      </c>
      <c r="AE23" s="180">
        <f t="shared" si="5"/>
        <v>-641556.43999999948</v>
      </c>
      <c r="AF23" s="180">
        <f t="shared" si="5"/>
        <v>10187147.34</v>
      </c>
      <c r="AG23" s="180">
        <f t="shared" si="5"/>
        <v>-118781.69999999995</v>
      </c>
      <c r="AH23" s="180">
        <f t="shared" si="5"/>
        <v>-1114795.5899999999</v>
      </c>
      <c r="AI23" s="180">
        <f t="shared" si="5"/>
        <v>12234275.83</v>
      </c>
      <c r="AJ23" s="180">
        <f t="shared" si="5"/>
        <v>5016254.2100000009</v>
      </c>
      <c r="AK23" s="180">
        <f t="shared" si="5"/>
        <v>6531766.3000000026</v>
      </c>
      <c r="AL23" s="180">
        <f t="shared" si="5"/>
        <v>1172309.7600000002</v>
      </c>
      <c r="AM23" s="180">
        <f t="shared" si="5"/>
        <v>-3843093.26</v>
      </c>
      <c r="AN23" s="180">
        <f t="shared" si="5"/>
        <v>1218796.6800000006</v>
      </c>
      <c r="AO23" s="180">
        <f t="shared" si="5"/>
        <v>928101.93000000017</v>
      </c>
      <c r="AP23" s="180">
        <f t="shared" si="5"/>
        <v>-1573158.0699999984</v>
      </c>
      <c r="AQ23" s="180">
        <f t="shared" si="5"/>
        <v>3349607.29</v>
      </c>
      <c r="AR23" s="180">
        <f t="shared" si="5"/>
        <v>4273584.87</v>
      </c>
      <c r="AS23" s="180">
        <f t="shared" si="5"/>
        <v>-1809164.0300000005</v>
      </c>
      <c r="AT23" s="180">
        <f t="shared" si="5"/>
        <v>8092477.2599999998</v>
      </c>
      <c r="AU23" s="180">
        <f t="shared" si="5"/>
        <v>2942305.2700000005</v>
      </c>
      <c r="AV23" s="180">
        <f t="shared" si="5"/>
        <v>303302.40000000002</v>
      </c>
      <c r="AW23" s="180">
        <f t="shared" si="5"/>
        <v>-28814.959999999963</v>
      </c>
      <c r="AX23" s="180">
        <f t="shared" si="5"/>
        <v>16166827.07</v>
      </c>
      <c r="AY23" s="180">
        <f t="shared" si="5"/>
        <v>-1285711.78</v>
      </c>
      <c r="AZ23" s="180">
        <f t="shared" si="5"/>
        <v>5956684.4200000009</v>
      </c>
      <c r="BA23" s="180">
        <f t="shared" si="5"/>
        <v>-570550.01</v>
      </c>
      <c r="BB23" s="180">
        <f t="shared" si="5"/>
        <v>38530094.520000011</v>
      </c>
      <c r="BC23" s="180">
        <f t="shared" si="5"/>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C24" si="6">D23/D5</f>
        <v>4272.1152222222227</v>
      </c>
      <c r="E24" s="173">
        <f t="shared" si="6"/>
        <v>4437.8262680412354</v>
      </c>
      <c r="F24" s="173">
        <f t="shared" si="6"/>
        <v>625.78152466367624</v>
      </c>
      <c r="G24" s="173">
        <f t="shared" si="6"/>
        <v>3076.3334398237403</v>
      </c>
      <c r="H24" s="173">
        <f t="shared" si="6"/>
        <v>5103.4676365831574</v>
      </c>
      <c r="I24" s="173">
        <f t="shared" si="6"/>
        <v>387.61345310136181</v>
      </c>
      <c r="J24" s="173">
        <f t="shared" si="6"/>
        <v>7200.9636875891565</v>
      </c>
      <c r="K24" s="173">
        <f t="shared" si="6"/>
        <v>2243.0954558716267</v>
      </c>
      <c r="L24" s="173">
        <f t="shared" si="6"/>
        <v>3904.0033898305091</v>
      </c>
      <c r="M24" s="173">
        <f t="shared" si="6"/>
        <v>3759.3653230082314</v>
      </c>
      <c r="N24" s="173">
        <f t="shared" si="6"/>
        <v>2589.5717613636366</v>
      </c>
      <c r="O24" s="173">
        <f t="shared" si="6"/>
        <v>2268.8379629629626</v>
      </c>
      <c r="P24" s="173">
        <f t="shared" si="6"/>
        <v>4519.7557108433739</v>
      </c>
      <c r="Q24" s="173">
        <f t="shared" si="6"/>
        <v>5984.085759312321</v>
      </c>
      <c r="R24" s="173">
        <f t="shared" si="6"/>
        <v>299.03978165939009</v>
      </c>
      <c r="S24" s="173">
        <f t="shared" si="6"/>
        <v>1045.7694509803925</v>
      </c>
      <c r="T24" s="173">
        <f t="shared" si="6"/>
        <v>4002.5546100917445</v>
      </c>
      <c r="U24" s="173">
        <f t="shared" si="6"/>
        <v>3395.1928965517241</v>
      </c>
      <c r="V24" s="173">
        <f t="shared" si="6"/>
        <v>-3334.9089506172841</v>
      </c>
      <c r="W24" s="173">
        <f t="shared" si="6"/>
        <v>6249.259967897272</v>
      </c>
      <c r="X24" s="173">
        <f t="shared" si="6"/>
        <v>-6106.1661060209417</v>
      </c>
      <c r="Y24" s="173">
        <f t="shared" si="6"/>
        <v>1416.5730208333334</v>
      </c>
      <c r="Z24" s="173">
        <f t="shared" si="6"/>
        <v>-2646.0851006711418</v>
      </c>
      <c r="AA24" s="173">
        <f t="shared" si="6"/>
        <v>1541.7526744186034</v>
      </c>
      <c r="AB24" s="173">
        <f t="shared" si="6"/>
        <v>8045.4640983606578</v>
      </c>
      <c r="AC24" s="173">
        <f t="shared" si="6"/>
        <v>2247.7640384615388</v>
      </c>
      <c r="AD24" s="173">
        <f t="shared" si="6"/>
        <v>-6328.4958163265301</v>
      </c>
      <c r="AE24" s="173">
        <f t="shared" si="6"/>
        <v>-335.19145245559014</v>
      </c>
      <c r="AF24" s="173">
        <f t="shared" si="6"/>
        <v>3895.6586386233271</v>
      </c>
      <c r="AG24" s="173">
        <f t="shared" si="6"/>
        <v>-523.26740088105703</v>
      </c>
      <c r="AH24" s="173">
        <f t="shared" si="6"/>
        <v>-8509.89</v>
      </c>
      <c r="AI24" s="173">
        <f t="shared" si="6"/>
        <v>6456.0822321899741</v>
      </c>
      <c r="AJ24" s="173">
        <f t="shared" si="6"/>
        <v>4419.6072334801765</v>
      </c>
      <c r="AK24" s="173">
        <f t="shared" si="6"/>
        <v>5263.3088638195022</v>
      </c>
      <c r="AL24" s="173">
        <f t="shared" si="6"/>
        <v>9851.342521008406</v>
      </c>
      <c r="AM24" s="173">
        <f t="shared" si="6"/>
        <v>-3215.977623430962</v>
      </c>
      <c r="AN24" s="173">
        <f t="shared" si="6"/>
        <v>1838.3057013574671</v>
      </c>
      <c r="AO24" s="173">
        <f t="shared" si="6"/>
        <v>1438.9177209302329</v>
      </c>
      <c r="AP24" s="173">
        <f t="shared" si="6"/>
        <v>-1245.5725019794129</v>
      </c>
      <c r="AQ24" s="173">
        <f t="shared" si="6"/>
        <v>4526.4963378378379</v>
      </c>
      <c r="AR24" s="173">
        <f t="shared" si="6"/>
        <v>4157.183725680934</v>
      </c>
      <c r="AS24" s="173">
        <f t="shared" si="6"/>
        <v>-5761.6688853503201</v>
      </c>
      <c r="AT24" s="173">
        <f t="shared" si="6"/>
        <v>3371.8655249999997</v>
      </c>
      <c r="AU24" s="173">
        <f t="shared" si="6"/>
        <v>3897.0930728476828</v>
      </c>
      <c r="AV24" s="173">
        <f t="shared" si="6"/>
        <v>1675.7038674033151</v>
      </c>
      <c r="AW24" s="173">
        <f t="shared" si="6"/>
        <v>-83.040230547550323</v>
      </c>
      <c r="AX24" s="173">
        <f t="shared" si="6"/>
        <v>9566.1698639053247</v>
      </c>
      <c r="AY24" s="173">
        <f t="shared" si="6"/>
        <v>-3322.2526614987082</v>
      </c>
      <c r="AZ24" s="173">
        <f t="shared" si="6"/>
        <v>5434.9310401459861</v>
      </c>
      <c r="BA24" s="173">
        <f t="shared" si="6"/>
        <v>-3034.8404787234044</v>
      </c>
      <c r="BB24" s="173">
        <f t="shared" si="6"/>
        <v>5988.513291886853</v>
      </c>
      <c r="BC24" s="173">
        <f t="shared" si="6"/>
        <v>3847.7301785714276</v>
      </c>
      <c r="BD24" s="173">
        <f>SUM(C24:BC24)</f>
        <v>113168.01041238003</v>
      </c>
      <c r="BE24" s="173">
        <f t="shared" si="0"/>
        <v>62485.644006223112</v>
      </c>
      <c r="BF24" s="173">
        <f t="shared" si="1"/>
        <v>-4387.5323883778119</v>
      </c>
      <c r="BG24" s="173">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0">
        <f>SUM(C42:BC42)</f>
        <v>538714835.05999994</v>
      </c>
      <c r="BE42" s="180">
        <f t="shared" ref="BE42" si="12">SUM(C42:U42)</f>
        <v>267409193.54999995</v>
      </c>
      <c r="BF42" s="180">
        <f t="shared" ref="BF42" si="13">SUM(V42:AH42)</f>
        <v>66360232.519999996</v>
      </c>
      <c r="BG42" s="180">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0">
        <f t="shared" si="16"/>
        <v>141329869.45999992</v>
      </c>
      <c r="BF45" s="180">
        <f t="shared" si="16"/>
        <v>11166293.910000011</v>
      </c>
      <c r="BG45" s="180">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14</v>
      </c>
    </row>
    <row r="5" spans="1:3" ht="15" customHeight="1" x14ac:dyDescent="0.25">
      <c r="C5" s="65"/>
    </row>
    <row r="6" spans="1:3" ht="15" customHeight="1" x14ac:dyDescent="0.25">
      <c r="C6" s="182" t="s">
        <v>205</v>
      </c>
    </row>
    <row r="7" spans="1:3" x14ac:dyDescent="0.25">
      <c r="A7" s="67">
        <v>10</v>
      </c>
      <c r="B7" s="67" t="s">
        <v>247</v>
      </c>
      <c r="C7" s="4">
        <f>HLOOKUP($B$4,'5.4 Tableau de l''endettement'!$C$6:$BC$24,2,0)</f>
        <v>5311232.7699999996</v>
      </c>
    </row>
    <row r="8" spans="1:3" x14ac:dyDescent="0.25">
      <c r="A8" s="67"/>
      <c r="B8" s="67"/>
      <c r="C8" s="4"/>
    </row>
    <row r="9" spans="1:3" x14ac:dyDescent="0.25">
      <c r="A9" s="67">
        <v>20</v>
      </c>
      <c r="B9" s="67" t="s">
        <v>259</v>
      </c>
      <c r="C9" s="4">
        <f>HLOOKUP($B$4,'5.4 Tableau de l''endettement'!$C$6:$BC$24,4,0)</f>
        <v>10327486.98</v>
      </c>
    </row>
    <row r="10" spans="1:3" x14ac:dyDescent="0.25">
      <c r="A10" s="67"/>
      <c r="B10" s="67"/>
      <c r="C10" s="4"/>
    </row>
    <row r="11" spans="1:3" x14ac:dyDescent="0.25">
      <c r="A11" s="67">
        <v>200</v>
      </c>
      <c r="B11" s="67" t="s">
        <v>460</v>
      </c>
      <c r="C11" s="4">
        <f>HLOOKUP($B$4,'5.4 Tableau de l''endettement'!$C$6:$BC$24,6,0)</f>
        <v>16414.79</v>
      </c>
    </row>
    <row r="12" spans="1:3" x14ac:dyDescent="0.25">
      <c r="A12" s="67"/>
      <c r="B12" s="67"/>
      <c r="C12" s="4"/>
    </row>
    <row r="13" spans="1:3" x14ac:dyDescent="0.25">
      <c r="A13" s="67">
        <v>201</v>
      </c>
      <c r="B13" s="67" t="s">
        <v>261</v>
      </c>
      <c r="C13" s="4">
        <f>HLOOKUP($B$4,'5.4 Tableau de l''endettement'!$C$6:$BC$24,8,0)</f>
        <v>1134925.8399999999</v>
      </c>
    </row>
    <row r="14" spans="1:3" x14ac:dyDescent="0.25">
      <c r="A14" s="67"/>
      <c r="B14" s="67"/>
      <c r="C14" s="4"/>
    </row>
    <row r="15" spans="1:3" x14ac:dyDescent="0.25">
      <c r="A15" s="67">
        <v>206</v>
      </c>
      <c r="B15" s="67" t="s">
        <v>264</v>
      </c>
      <c r="C15" s="4">
        <f>HLOOKUP($B$4,'5.4 Tableau de l''endettement'!$C$6:$BC$24,10,0)</f>
        <v>8541150</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9692490.629999999</v>
      </c>
    </row>
    <row r="21" spans="1:3" x14ac:dyDescent="0.25">
      <c r="A21" s="67"/>
      <c r="B21" s="69" t="s">
        <v>458</v>
      </c>
      <c r="C21" s="70">
        <f>HLOOKUP($B$4,'5.4 Tableau de l''endettement'!$C$6:$BC$24,16,0)</f>
        <v>8539.6393215859025</v>
      </c>
    </row>
    <row r="22" spans="1:3" x14ac:dyDescent="0.25">
      <c r="A22" s="67"/>
      <c r="B22" s="7"/>
      <c r="C22" s="4"/>
    </row>
    <row r="23" spans="1:3" x14ac:dyDescent="0.25">
      <c r="A23" s="67"/>
      <c r="B23" s="99" t="s">
        <v>656</v>
      </c>
      <c r="C23" s="100">
        <f>HLOOKUP($B$4,'5.4 Tableau de l''endettement'!$C$6:$BC$24,18,0)</f>
        <v>5016254.2100000009</v>
      </c>
    </row>
    <row r="24" spans="1:3" x14ac:dyDescent="0.25">
      <c r="A24" s="67"/>
      <c r="B24" s="69" t="s">
        <v>458</v>
      </c>
      <c r="C24" s="70">
        <f>HLOOKUP($B$4,'5.4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3398783</v>
      </c>
    </row>
    <row r="30" spans="1:3" x14ac:dyDescent="0.25">
      <c r="A30" s="67"/>
      <c r="B30" s="67"/>
      <c r="C30" s="4"/>
    </row>
    <row r="31" spans="1:3" x14ac:dyDescent="0.25">
      <c r="A31" s="67">
        <v>20</v>
      </c>
      <c r="B31" s="67" t="s">
        <v>259</v>
      </c>
      <c r="C31" s="4">
        <f>HLOOKUP($B$4,'5.4 Tableau de l''endettement'!$C$6:$BC$49,26,0)</f>
        <v>16414</v>
      </c>
    </row>
    <row r="32" spans="1:3" x14ac:dyDescent="0.25">
      <c r="A32" s="67"/>
      <c r="B32" s="67"/>
      <c r="C32" s="4"/>
    </row>
    <row r="33" spans="1:3" x14ac:dyDescent="0.25">
      <c r="A33" s="67">
        <v>200</v>
      </c>
      <c r="B33" s="67" t="s">
        <v>460</v>
      </c>
      <c r="C33" s="4">
        <f>HLOOKUP($B$4,'5.4 Tableau de l''endettement'!$C$6:$BC$49,28,0)</f>
        <v>320246</v>
      </c>
    </row>
    <row r="34" spans="1:3" x14ac:dyDescent="0.25">
      <c r="A34" s="67"/>
      <c r="B34" s="67"/>
      <c r="C34" s="4"/>
    </row>
    <row r="35" spans="1:3" x14ac:dyDescent="0.25">
      <c r="A35" s="67">
        <v>201</v>
      </c>
      <c r="B35" s="67" t="s">
        <v>261</v>
      </c>
      <c r="C35" s="4">
        <f>HLOOKUP($B$4,'5.4 Tableau de l''endettement'!$C$6:$BC$49,30,0)</f>
        <v>512379</v>
      </c>
    </row>
    <row r="36" spans="1:3" x14ac:dyDescent="0.25">
      <c r="A36" s="67"/>
      <c r="B36" s="67"/>
      <c r="C36" s="4"/>
    </row>
    <row r="37" spans="1:3" x14ac:dyDescent="0.25">
      <c r="A37" s="67">
        <v>206</v>
      </c>
      <c r="B37" s="67" t="s">
        <v>264</v>
      </c>
      <c r="C37" s="4">
        <f>HLOOKUP($B$4,'5.4 Tableau de l''endettement'!$C$6:$BC$49,32,0)</f>
        <v>5808800</v>
      </c>
    </row>
    <row r="38" spans="1:3" x14ac:dyDescent="0.25">
      <c r="A38" s="67"/>
      <c r="B38" s="67"/>
      <c r="C38" s="4"/>
    </row>
    <row r="39" spans="1:3" x14ac:dyDescent="0.25">
      <c r="A39" s="67">
        <v>2016</v>
      </c>
      <c r="B39" s="67" t="s">
        <v>276</v>
      </c>
      <c r="C39" s="4">
        <f>HLOOKUP($B$4,'5.4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HLOOKUP($B$4,'5.4 Tableau de l''endettement'!$C$6:$BC$49,37,0)</f>
        <v>6479125</v>
      </c>
    </row>
    <row r="43" spans="1:3" x14ac:dyDescent="0.25">
      <c r="A43" s="67"/>
      <c r="B43" s="69" t="s">
        <v>458</v>
      </c>
      <c r="C43" s="70">
        <f>HLOOKUP($B$4,'5.4 Tableau de l''endettement'!$C$6:$BC$49,38,0)</f>
        <v>5708.4801762114539</v>
      </c>
    </row>
    <row r="44" spans="1:3" x14ac:dyDescent="0.25">
      <c r="A44" s="67"/>
      <c r="B44" s="7"/>
      <c r="C44" s="4"/>
    </row>
    <row r="45" spans="1:3" x14ac:dyDescent="0.25">
      <c r="A45" s="67"/>
      <c r="B45" s="99" t="s">
        <v>658</v>
      </c>
      <c r="C45" s="100">
        <f>HLOOKUP($B$4,'5.4 Tableau de l''endettement'!$C$6:$BC$49,40,0)</f>
        <v>-3382369</v>
      </c>
    </row>
    <row r="46" spans="1:3" x14ac:dyDescent="0.25">
      <c r="A46" s="67"/>
      <c r="B46" s="69" t="s">
        <v>458</v>
      </c>
      <c r="C46" s="70">
        <f>HLOOKUP($B$4,'5.4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4" t="s">
        <v>35</v>
      </c>
    </row>
    <row r="7" spans="1:5" x14ac:dyDescent="0.25">
      <c r="E7" s="65" t="s">
        <v>205</v>
      </c>
    </row>
    <row r="8" spans="1:5" ht="21" x14ac:dyDescent="0.35">
      <c r="A8" s="92">
        <v>3</v>
      </c>
      <c r="B8" s="92"/>
      <c r="C8" s="92"/>
      <c r="D8" s="92" t="s">
        <v>60</v>
      </c>
      <c r="E8" s="171">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2">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4" t="s">
        <v>56</v>
      </c>
    </row>
    <row r="7" spans="1:5" x14ac:dyDescent="0.25">
      <c r="E7" s="65" t="s">
        <v>205</v>
      </c>
    </row>
    <row r="8" spans="1:5" ht="21" x14ac:dyDescent="0.35">
      <c r="A8" s="92">
        <v>3</v>
      </c>
      <c r="B8" s="92"/>
      <c r="C8" s="92"/>
      <c r="D8" s="92" t="s">
        <v>60</v>
      </c>
      <c r="E8" s="171">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2">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5.3 Bilan par commune</vt:lpstr>
      <vt:lpstr>5.2 Tableau bilan</vt:lpstr>
      <vt:lpstr>5.1.2Graphique capitaux propres</vt:lpstr>
      <vt:lpstr>5.4 Tableau de l'endettement</vt:lpstr>
      <vt:lpstr>5.4.1Graphique de l'endettement</vt:lpstr>
      <vt:lpstr>5.5 Endettement par commune</vt:lpstr>
      <vt:lpstr>6.1 Investissements</vt:lpstr>
      <vt:lpstr>6.2 Investissements par commune</vt:lpstr>
      <vt:lpstr>7, Définition des indicateurs</vt:lpstr>
      <vt:lpstr>Base de données indicateurs1</vt:lpstr>
      <vt:lpstr>7.1 Quotient endettement net</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2022-06-14T08:17:29Z</dcterms:modified>
</cp:coreProperties>
</file>