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6" activeTab="6"/>
  </bookViews>
  <sheets>
    <sheet name="Sommaire" sheetId="47"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<sst xmlns="http://schemas.openxmlformats.org/spreadsheetml/2006/main" count="5455" uniqueCount="864">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</sst>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D5" sqref="D5"/>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D5" sqref="D5"/>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D5" sqref="D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D5" sqref="D5"/>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D5" sqref="D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D5" sqref="D5"/>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activeCell="D5" sqref="D5"/>
      <selection pane="topRight" activeCell="D5" sqref="D5"/>
      <selection pane="bottomLeft" activeCell="D5" sqref="D5"/>
      <selection pane="bottomRight" activeCell="D5" sqref="D5"/>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D5" sqref="D5"/>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D5" sqref="D5"/>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D5" sqref="D5"/>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activeCell="D5" sqref="D5"/>
      <selection pane="topRight" activeCell="D5" sqref="D5"/>
      <selection pane="bottomLeft" activeCell="D5" sqref="D5"/>
      <selection pane="bottomRight" activeCell="D5" sqref="D5"/>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activeCell="D5" sqref="D5"/>
      <selection pane="topRight" activeCell="D5" sqref="D5"/>
      <selection pane="bottomLeft" activeCell="D5" sqref="D5"/>
      <selection pane="bottomRight" activeCell="D5" sqref="D5"/>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D5" sqref="D5"/>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D5" sqref="D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D5" sqref="D5"/>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D5" sqref="D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activeCell="D5" sqref="D5"/>
      <selection pane="topRight" activeCell="D5" sqref="D5"/>
      <selection pane="bottomLeft" activeCell="D5" sqref="D5"/>
      <selection pane="bottomRight" activeCell="D5" sqref="D5"/>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D5" sqref="D5"/>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D5" sqref="D5"/>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D5" sqref="D5"/>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abSelected="1" workbookViewId="0">
      <selection activeCell="E5" sqref="E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594</v>
      </c>
    </row>
    <row r="5" spans="1:5" ht="15.75" thickBot="1" x14ac:dyDescent="0.3">
      <c r="A5" t="s">
        <v>634</v>
      </c>
      <c r="D5" s="174" t="s">
        <v>56</v>
      </c>
    </row>
    <row r="7" spans="1:5" x14ac:dyDescent="0.25">
      <c r="E7" s="65" t="s">
        <v>202</v>
      </c>
    </row>
    <row r="8" spans="1:5" ht="21" x14ac:dyDescent="0.35">
      <c r="A8" s="92">
        <v>3</v>
      </c>
      <c r="B8" s="92"/>
      <c r="C8" s="92"/>
      <c r="D8" s="92" t="s">
        <v>60</v>
      </c>
      <c r="E8" s="171">
        <f>HLOOKUP(D5,'4.1 Comptes 2021 natures'!$E$3:$BE$158,2,0)</f>
        <v>3547928.06</v>
      </c>
    </row>
    <row r="9" spans="1:5" x14ac:dyDescent="0.25">
      <c r="A9" s="94"/>
      <c r="B9" s="94">
        <v>30</v>
      </c>
      <c r="C9" s="94"/>
      <c r="D9" s="94" t="s">
        <v>61</v>
      </c>
      <c r="E9" s="95">
        <f>HLOOKUP($D$5,'4.1 Comptes 2021 natures'!$E$3:$BE$158,3,0)</f>
        <v>450690.30000000005</v>
      </c>
    </row>
    <row r="10" spans="1:5" x14ac:dyDescent="0.25">
      <c r="C10">
        <v>300</v>
      </c>
      <c r="D10" t="s">
        <v>80</v>
      </c>
      <c r="E10" s="89">
        <f>HLOOKUP($D$5,'4.1 Comptes 2021 natures'!$E$3:$BE$158,4,0)</f>
        <v>40562</v>
      </c>
    </row>
    <row r="11" spans="1:5" x14ac:dyDescent="0.25">
      <c r="C11">
        <v>301</v>
      </c>
      <c r="D11" t="s">
        <v>81</v>
      </c>
      <c r="E11" s="89">
        <f>HLOOKUP($D$5,'4.1 Comptes 2021 natures'!$E$3:$BE$158,5,0)</f>
        <v>342108.95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67257.350000000006</v>
      </c>
    </row>
    <row r="16" spans="1:5" x14ac:dyDescent="0.25">
      <c r="C16">
        <v>306</v>
      </c>
      <c r="D16" t="s">
        <v>85</v>
      </c>
      <c r="E16" s="89">
        <f>HLOOKUP($D$5,'4.1 Comptes 2021 natures'!$E$3:$BE$158,10,0)</f>
        <v>0</v>
      </c>
    </row>
    <row r="17" spans="2:5" x14ac:dyDescent="0.25">
      <c r="C17">
        <v>309</v>
      </c>
      <c r="D17" t="s">
        <v>86</v>
      </c>
      <c r="E17" s="89">
        <f>HLOOKUP($D$5,'4.1 Comptes 2021 natures'!$E$3:$BE$158,11,0)</f>
        <v>762</v>
      </c>
    </row>
    <row r="18" spans="2:5" x14ac:dyDescent="0.25">
      <c r="E18" s="4"/>
    </row>
    <row r="19" spans="2:5" x14ac:dyDescent="0.25">
      <c r="B19" s="94">
        <v>31</v>
      </c>
      <c r="C19" s="94"/>
      <c r="D19" s="94" t="s">
        <v>87</v>
      </c>
      <c r="E19" s="95">
        <f>SUM(E20:E29)</f>
        <v>549823.39</v>
      </c>
    </row>
    <row r="20" spans="2:5" x14ac:dyDescent="0.25">
      <c r="C20">
        <v>310</v>
      </c>
      <c r="D20" t="s">
        <v>88</v>
      </c>
      <c r="E20" s="89">
        <f>HLOOKUP($D$5,'4.1 Comptes 2021 natures'!$E$3:$BE$158,14,0)</f>
        <v>82979.55</v>
      </c>
    </row>
    <row r="21" spans="2:5" x14ac:dyDescent="0.25">
      <c r="C21">
        <v>311</v>
      </c>
      <c r="D21" t="s">
        <v>452</v>
      </c>
      <c r="E21" s="89">
        <f>HLOOKUP($D$5,'4.1 Comptes 2021 natures'!$E$3:$BE$158,15,0)</f>
        <v>30604.400000000001</v>
      </c>
    </row>
    <row r="22" spans="2:5" x14ac:dyDescent="0.25">
      <c r="C22">
        <v>312</v>
      </c>
      <c r="D22" t="s">
        <v>90</v>
      </c>
      <c r="E22" s="89">
        <f>HLOOKUP($D$5,'4.1 Comptes 2021 natures'!$E$3:$BE$158,16,0)</f>
        <v>83786.7</v>
      </c>
    </row>
    <row r="23" spans="2:5" x14ac:dyDescent="0.25">
      <c r="C23">
        <v>313</v>
      </c>
      <c r="D23" t="s">
        <v>91</v>
      </c>
      <c r="E23" s="89">
        <f>HLOOKUP($D$5,'4.1 Comptes 2021 natures'!$E$3:$BE$158,17,0)</f>
        <v>137664.14000000001</v>
      </c>
    </row>
    <row r="24" spans="2:5" x14ac:dyDescent="0.25">
      <c r="C24">
        <v>314</v>
      </c>
      <c r="D24" t="s">
        <v>92</v>
      </c>
      <c r="E24" s="89">
        <f>HLOOKUP($D$5,'4.1 Comptes 2021 natures'!$E$3:$BE$158,18,0)</f>
        <v>183317</v>
      </c>
    </row>
    <row r="25" spans="2:5" x14ac:dyDescent="0.25">
      <c r="C25">
        <v>315</v>
      </c>
      <c r="D25" t="s">
        <v>93</v>
      </c>
      <c r="E25" s="89">
        <f>HLOOKUP($D$5,'4.1 Comptes 2021 natures'!$E$3:$BE$158,19,0)</f>
        <v>49935.55</v>
      </c>
    </row>
    <row r="26" spans="2:5" x14ac:dyDescent="0.25">
      <c r="C26">
        <v>316</v>
      </c>
      <c r="D26" t="s">
        <v>94</v>
      </c>
      <c r="E26" s="89">
        <f>HLOOKUP($D$5,'4.1 Comptes 2021 natures'!$E$3:$BE$158,20,0)</f>
        <v>3877.2</v>
      </c>
    </row>
    <row r="27" spans="2:5" x14ac:dyDescent="0.25">
      <c r="C27">
        <v>317</v>
      </c>
      <c r="D27" t="s">
        <v>95</v>
      </c>
      <c r="E27" s="89">
        <f>HLOOKUP($D$5,'4.1 Comptes 2021 natures'!$E$3:$BE$158,21,0)</f>
        <v>23606.65</v>
      </c>
    </row>
    <row r="28" spans="2:5" x14ac:dyDescent="0.25">
      <c r="C28">
        <v>318</v>
      </c>
      <c r="D28" t="s">
        <v>96</v>
      </c>
      <c r="E28" s="89">
        <f>HLOOKUP($D$5,'4.1 Comptes 2021 natures'!$E$3:$BE$158,22,0)</f>
        <v>-46864.3</v>
      </c>
    </row>
    <row r="29" spans="2:5" x14ac:dyDescent="0.25">
      <c r="C29">
        <v>319</v>
      </c>
      <c r="D29" t="s">
        <v>97</v>
      </c>
      <c r="E29" s="89">
        <f>HLOOKUP($D$5,'4.1 Comptes 2021 natures'!$E$3:$BE$158,23,0)</f>
        <v>916.5</v>
      </c>
    </row>
    <row r="30" spans="2:5" x14ac:dyDescent="0.25">
      <c r="E30" s="4"/>
    </row>
    <row r="31" spans="2:5" x14ac:dyDescent="0.25">
      <c r="B31" s="94">
        <v>33</v>
      </c>
      <c r="C31" s="94"/>
      <c r="D31" s="94" t="s">
        <v>98</v>
      </c>
      <c r="E31" s="95">
        <f>SUM(E32:E33)</f>
        <v>282130.74</v>
      </c>
    </row>
    <row r="32" spans="2:5" x14ac:dyDescent="0.25">
      <c r="C32">
        <v>330</v>
      </c>
      <c r="D32" t="s">
        <v>100</v>
      </c>
      <c r="E32" s="89">
        <f>HLOOKUP($D$5,'4.1 Comptes 2021 natures'!$E$3:$BE$158,26,0)</f>
        <v>282130.74</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38934.65</v>
      </c>
    </row>
    <row r="36" spans="2:5" x14ac:dyDescent="0.25">
      <c r="C36">
        <v>340</v>
      </c>
      <c r="D36" t="s">
        <v>102</v>
      </c>
      <c r="E36" s="89">
        <f>HLOOKUP($D$5,'4.1 Comptes 2021 natures'!$E$3:$BE$158,30,0)</f>
        <v>38934.65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0</v>
      </c>
    </row>
    <row r="40" spans="2:5" x14ac:dyDescent="0.25">
      <c r="C40">
        <v>344</v>
      </c>
      <c r="D40" t="s">
        <v>106</v>
      </c>
      <c r="E40" s="89">
        <f>HLOOKUP($D$5,'4.1 Comptes 2021 natures'!$E$3:$BE$158,34,0)</f>
        <v>0</v>
      </c>
    </row>
    <row r="41" spans="2:5" x14ac:dyDescent="0.25">
      <c r="C41">
        <v>349</v>
      </c>
      <c r="D41" t="s">
        <v>107</v>
      </c>
      <c r="E41" s="89">
        <f>HLOOKUP($D$5,'4.1 Comptes 2021 natures'!$E$3:$BE$158,35,0)</f>
        <v>0</v>
      </c>
    </row>
    <row r="42" spans="2:5" x14ac:dyDescent="0.25">
      <c r="E42" s="4"/>
    </row>
    <row r="43" spans="2:5" x14ac:dyDescent="0.25">
      <c r="B43" s="94">
        <v>35</v>
      </c>
      <c r="C43" s="94"/>
      <c r="D43" s="94" t="s">
        <v>109</v>
      </c>
      <c r="E43" s="95">
        <f>SUM(E44:E45)</f>
        <v>16978.75</v>
      </c>
    </row>
    <row r="44" spans="2:5" x14ac:dyDescent="0.25">
      <c r="C44">
        <v>350</v>
      </c>
      <c r="D44" t="s">
        <v>109</v>
      </c>
      <c r="E44" s="89">
        <f>HLOOKUP($D$5,'4.1 Comptes 2021 natures'!$E$3:$BE$158,38,0)</f>
        <v>0</v>
      </c>
    </row>
    <row r="45" spans="2:5" x14ac:dyDescent="0.25">
      <c r="C45">
        <v>351</v>
      </c>
      <c r="D45" t="s">
        <v>108</v>
      </c>
      <c r="E45" s="89">
        <f>HLOOKUP($D$5,'4.1 Comptes 2021 natures'!$E$3:$BE$158,39,0)</f>
        <v>16978.75</v>
      </c>
    </row>
    <row r="46" spans="2:5" x14ac:dyDescent="0.25">
      <c r="E46" s="4"/>
    </row>
    <row r="47" spans="2:5" x14ac:dyDescent="0.25">
      <c r="B47" s="94">
        <v>36</v>
      </c>
      <c r="C47" s="94"/>
      <c r="D47" s="94" t="s">
        <v>110</v>
      </c>
      <c r="E47" s="95">
        <f>SUM(E48:E55)</f>
        <v>2209370.23</v>
      </c>
    </row>
    <row r="48" spans="2:5" x14ac:dyDescent="0.25">
      <c r="C48">
        <v>360</v>
      </c>
      <c r="D48" t="s">
        <v>111</v>
      </c>
      <c r="E48" s="89">
        <f>HLOOKUP($D$5,'4.1 Comptes 2021 natures'!$E$3:$BE$158,42,0)</f>
        <v>4379.6000000000004</v>
      </c>
    </row>
    <row r="49" spans="2:5" x14ac:dyDescent="0.25">
      <c r="C49">
        <v>361</v>
      </c>
      <c r="D49" t="s">
        <v>112</v>
      </c>
      <c r="E49" s="89">
        <f>HLOOKUP($D$5,'4.1 Comptes 2021 natures'!$E$3:$BE$158,43,0)</f>
        <v>1642996.43</v>
      </c>
    </row>
    <row r="50" spans="2:5" x14ac:dyDescent="0.25">
      <c r="C50">
        <v>362</v>
      </c>
      <c r="D50" t="s">
        <v>113</v>
      </c>
      <c r="E50" s="89">
        <f>HLOOKUP($D$5,'4.1 Comptes 2021 natures'!$E$3:$BE$158,44,0)</f>
        <v>22114</v>
      </c>
    </row>
    <row r="51" spans="2:5" x14ac:dyDescent="0.25">
      <c r="C51">
        <v>363</v>
      </c>
      <c r="D51" t="s">
        <v>114</v>
      </c>
      <c r="E51" s="89">
        <f>HLOOKUP($D$5,'4.1 Comptes 2021 natures'!$E$3:$BE$158,45,0)</f>
        <v>531555.19999999995</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8325</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0</v>
      </c>
    </row>
    <row r="67" spans="1:5" x14ac:dyDescent="0.25">
      <c r="E67" s="4"/>
    </row>
    <row r="68" spans="1:5" x14ac:dyDescent="0.25">
      <c r="B68" s="94">
        <v>39</v>
      </c>
      <c r="C68" s="94"/>
      <c r="D68" s="94" t="s">
        <v>128</v>
      </c>
      <c r="E68" s="95">
        <f>SUM(E69:E76)</f>
        <v>0</v>
      </c>
    </row>
    <row r="69" spans="1:5" x14ac:dyDescent="0.25">
      <c r="C69">
        <v>390</v>
      </c>
      <c r="D69" t="s">
        <v>129</v>
      </c>
      <c r="E69" s="89">
        <f>HLOOKUP($D$5,'4.1 Comptes 2021 natures'!$E$3:$BE$158,63,0)</f>
        <v>0</v>
      </c>
    </row>
    <row r="70" spans="1:5" x14ac:dyDescent="0.25">
      <c r="C70">
        <v>391</v>
      </c>
      <c r="D70" t="s">
        <v>130</v>
      </c>
      <c r="E70" s="89">
        <f>HLOOKUP($D$5,'4.1 Comptes 2021 natures'!$E$3:$BE$158,64,0)</f>
        <v>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3592856.1599999997</v>
      </c>
    </row>
    <row r="80" spans="1:5" x14ac:dyDescent="0.25">
      <c r="A80" s="7"/>
      <c r="B80" s="96">
        <v>40</v>
      </c>
      <c r="C80" s="96"/>
      <c r="D80" s="96" t="s">
        <v>79</v>
      </c>
      <c r="E80" s="91">
        <f>SUM(E81:E84)</f>
        <v>2484648.4499999997</v>
      </c>
    </row>
    <row r="81" spans="2:5" x14ac:dyDescent="0.25">
      <c r="C81">
        <v>400</v>
      </c>
      <c r="D81" t="s">
        <v>138</v>
      </c>
      <c r="E81" s="89">
        <f>HLOOKUP($D$5,'4.1 Comptes 2021 natures'!$E$3:$BE$158,75,0)</f>
        <v>2089448.2</v>
      </c>
    </row>
    <row r="82" spans="2:5" x14ac:dyDescent="0.25">
      <c r="C82">
        <v>401</v>
      </c>
      <c r="D82" t="s">
        <v>139</v>
      </c>
      <c r="E82" s="89">
        <f>HLOOKUP($D$5,'4.1 Comptes 2021 natures'!$E$3:$BE$158,76,0)</f>
        <v>99854.85</v>
      </c>
    </row>
    <row r="83" spans="2:5" x14ac:dyDescent="0.25">
      <c r="C83">
        <v>402</v>
      </c>
      <c r="D83" t="s">
        <v>140</v>
      </c>
      <c r="E83" s="89">
        <f>HLOOKUP($D$5,'4.1 Comptes 2021 natures'!$E$3:$BE$158,77,0)</f>
        <v>281123.40000000002</v>
      </c>
    </row>
    <row r="84" spans="2:5" x14ac:dyDescent="0.25">
      <c r="C84">
        <v>403</v>
      </c>
      <c r="D84" t="s">
        <v>141</v>
      </c>
      <c r="E84" s="89">
        <f>HLOOKUP($D$5,'4.1 Comptes 2021 natures'!$E$3:$BE$158,78,0)</f>
        <v>14222</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619770.70000000007</v>
      </c>
    </row>
    <row r="93" spans="2:5" x14ac:dyDescent="0.25">
      <c r="C93">
        <v>420</v>
      </c>
      <c r="D93" t="s">
        <v>148</v>
      </c>
      <c r="E93" s="89">
        <f>HLOOKUP($D$5,'4.1 Comptes 2021 natures'!$E$3:$BE$158,87,0)</f>
        <v>38676.550000000003</v>
      </c>
    </row>
    <row r="94" spans="2:5" x14ac:dyDescent="0.25">
      <c r="C94">
        <v>421</v>
      </c>
      <c r="D94" t="s">
        <v>149</v>
      </c>
      <c r="E94" s="89">
        <f>HLOOKUP($D$5,'4.1 Comptes 2021 natures'!$E$3:$BE$158,88,0)</f>
        <v>18730.75</v>
      </c>
    </row>
    <row r="95" spans="2:5" x14ac:dyDescent="0.25">
      <c r="C95">
        <v>422</v>
      </c>
      <c r="D95" t="s">
        <v>150</v>
      </c>
      <c r="E95" s="89">
        <f>HLOOKUP($D$5,'4.1 Comptes 2021 natures'!$E$3:$BE$158,89,0)</f>
        <v>0</v>
      </c>
    </row>
    <row r="96" spans="2:5" x14ac:dyDescent="0.25">
      <c r="C96">
        <v>423</v>
      </c>
      <c r="D96" t="s">
        <v>151</v>
      </c>
      <c r="E96" s="89">
        <f>HLOOKUP($D$5,'4.1 Comptes 2021 natures'!$E$3:$BE$158,90,0)</f>
        <v>2720</v>
      </c>
    </row>
    <row r="97" spans="2:5" x14ac:dyDescent="0.25">
      <c r="C97">
        <v>424</v>
      </c>
      <c r="D97" t="s">
        <v>152</v>
      </c>
      <c r="E97" s="89">
        <f>HLOOKUP($D$5,'4.1 Comptes 2021 natures'!$E$3:$BE$158,91,0)</f>
        <v>517639.85</v>
      </c>
    </row>
    <row r="98" spans="2:5" x14ac:dyDescent="0.25">
      <c r="C98">
        <v>425</v>
      </c>
      <c r="D98" t="s">
        <v>153</v>
      </c>
      <c r="E98" s="89">
        <f>HLOOKUP($D$5,'4.1 Comptes 2021 natures'!$E$3:$BE$158,92,0)</f>
        <v>10532.15</v>
      </c>
    </row>
    <row r="99" spans="2:5" x14ac:dyDescent="0.25">
      <c r="C99">
        <v>426</v>
      </c>
      <c r="D99" t="s">
        <v>154</v>
      </c>
      <c r="E99" s="89">
        <f>HLOOKUP($D$5,'4.1 Comptes 2021 natures'!$E$3:$BE$158,93,0)</f>
        <v>31271.4</v>
      </c>
    </row>
    <row r="100" spans="2:5" x14ac:dyDescent="0.25">
      <c r="C100">
        <v>427</v>
      </c>
      <c r="D100" t="s">
        <v>155</v>
      </c>
      <c r="E100" s="89">
        <f>HLOOKUP($D$5,'4.1 Comptes 2021 natures'!$E$3:$BE$158,94,0)</f>
        <v>200</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102093.45999999999</v>
      </c>
    </row>
    <row r="110" spans="2:5" x14ac:dyDescent="0.25">
      <c r="C110">
        <v>440</v>
      </c>
      <c r="D110" t="s">
        <v>163</v>
      </c>
      <c r="E110" s="89">
        <f>HLOOKUP($D$5,'4.1 Comptes 2021 natures'!$E$3:$BE$158,104,0)</f>
        <v>17852.91</v>
      </c>
    </row>
    <row r="111" spans="2:5" x14ac:dyDescent="0.25">
      <c r="C111">
        <v>441</v>
      </c>
      <c r="D111" t="s">
        <v>164</v>
      </c>
      <c r="E111" s="89">
        <f>HLOOKUP($D$5,'4.1 Comptes 2021 natures'!$E$3:$BE$158,105,0)</f>
        <v>0</v>
      </c>
    </row>
    <row r="112" spans="2:5" x14ac:dyDescent="0.25">
      <c r="C112">
        <v>442</v>
      </c>
      <c r="D112" t="s">
        <v>165</v>
      </c>
      <c r="E112" s="89">
        <f>HLOOKUP($D$5,'4.1 Comptes 2021 natures'!$E$3:$BE$158,106,0)</f>
        <v>39</v>
      </c>
    </row>
    <row r="113" spans="2:5" x14ac:dyDescent="0.25">
      <c r="C113">
        <v>443</v>
      </c>
      <c r="D113" t="s">
        <v>166</v>
      </c>
      <c r="E113" s="89">
        <f>HLOOKUP($D$5,'4.1 Comptes 2021 natures'!$E$3:$BE$158,107,0)</f>
        <v>23061.5</v>
      </c>
    </row>
    <row r="114" spans="2:5" x14ac:dyDescent="0.25">
      <c r="C114">
        <v>444</v>
      </c>
      <c r="D114" t="s">
        <v>106</v>
      </c>
      <c r="E114" s="89">
        <f>HLOOKUP($D$5,'4.1 Comptes 2021 natures'!$E$3:$BE$158,108,0)</f>
        <v>59653.15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1486.9</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46777.4</v>
      </c>
    </row>
    <row r="122" spans="2:5" x14ac:dyDescent="0.25">
      <c r="C122">
        <v>450</v>
      </c>
      <c r="D122" t="s">
        <v>172</v>
      </c>
      <c r="E122" s="89">
        <f>HLOOKUP($D$5,'4.1 Comptes 2021 natures'!$E$3:$BE$158,116,0)</f>
        <v>4212</v>
      </c>
    </row>
    <row r="123" spans="2:5" x14ac:dyDescent="0.25">
      <c r="C123">
        <v>451</v>
      </c>
      <c r="D123" t="s">
        <v>173</v>
      </c>
      <c r="E123" s="89">
        <f>HLOOKUP($D$5,'4.1 Comptes 2021 natures'!$E$3:$BE$158,117,0)</f>
        <v>42565.4</v>
      </c>
    </row>
    <row r="124" spans="2:5" x14ac:dyDescent="0.25">
      <c r="E124" s="4"/>
    </row>
    <row r="125" spans="2:5" x14ac:dyDescent="0.25">
      <c r="B125" s="96">
        <v>46</v>
      </c>
      <c r="C125" s="96"/>
      <c r="D125" s="96" t="s">
        <v>175</v>
      </c>
      <c r="E125" s="91">
        <f>SUM(E126:E130)</f>
        <v>339566.15</v>
      </c>
    </row>
    <row r="126" spans="2:5" x14ac:dyDescent="0.25">
      <c r="C126">
        <v>460</v>
      </c>
      <c r="D126" t="s">
        <v>176</v>
      </c>
      <c r="E126" s="89">
        <f>HLOOKUP($D$5,'4.1 Comptes 2021 natures'!$E$3:$BE$158,120,0)</f>
        <v>8028</v>
      </c>
    </row>
    <row r="127" spans="2:5" x14ac:dyDescent="0.25">
      <c r="C127">
        <v>461</v>
      </c>
      <c r="D127" t="s">
        <v>177</v>
      </c>
      <c r="E127" s="89">
        <f>HLOOKUP($D$5,'4.1 Comptes 2021 natures'!$E$3:$BE$158,121,0)</f>
        <v>275266.75</v>
      </c>
    </row>
    <row r="128" spans="2:5" x14ac:dyDescent="0.25">
      <c r="C128">
        <v>462</v>
      </c>
      <c r="D128" t="s">
        <v>113</v>
      </c>
      <c r="E128" s="89">
        <f>HLOOKUP($D$5,'4.1 Comptes 2021 natures'!$E$3:$BE$158,122,0)</f>
        <v>0</v>
      </c>
    </row>
    <row r="129" spans="2:5" x14ac:dyDescent="0.25">
      <c r="C129">
        <v>463</v>
      </c>
      <c r="D129" t="s">
        <v>178</v>
      </c>
      <c r="E129" s="89">
        <f>HLOOKUP($D$5,'4.1 Comptes 2021 natures'!$E$3:$BE$158,123,0)</f>
        <v>56165.5</v>
      </c>
    </row>
    <row r="130" spans="2:5" x14ac:dyDescent="0.25">
      <c r="C130">
        <v>469</v>
      </c>
      <c r="D130" t="s">
        <v>179</v>
      </c>
      <c r="E130" s="89">
        <f>HLOOKUP($D$5,'4.1 Comptes 2021 natures'!$E$3:$BE$158,124,0)</f>
        <v>105.9</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HLOOKUP($D$5,'4.1 Comptes 2021 natures'!$E$3:$BE$158,139,0)</f>
        <v>0</v>
      </c>
    </row>
    <row r="146" spans="1:5" x14ac:dyDescent="0.25">
      <c r="C146">
        <v>491</v>
      </c>
      <c r="D146" t="s">
        <v>130</v>
      </c>
      <c r="E146" s="89">
        <f>HLOOKUP($D$5,'4.1 Comptes 2021 natures'!$E$3:$BE$158,140,0)</f>
        <v>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44928.100000000006</v>
      </c>
    </row>
    <row r="158" spans="1:5" x14ac:dyDescent="0.25">
      <c r="C158">
        <v>900</v>
      </c>
      <c r="D158" t="s">
        <v>196</v>
      </c>
      <c r="E158" s="89">
        <f>HLOOKUP($D$5,'4.1 Comptes 2021 natures'!$E$3:$BE$158,152,0)</f>
        <v>-157625.18</v>
      </c>
    </row>
    <row r="159" spans="1:5" x14ac:dyDescent="0.25">
      <c r="C159">
        <v>901</v>
      </c>
      <c r="D159" t="s">
        <v>197</v>
      </c>
      <c r="E159" s="89">
        <f>HLOOKUP($D$5,'4.1 Comptes 2021 natures'!$E$3:$BE$158,153,0)</f>
        <v>202553.28</v>
      </c>
    </row>
    <row r="160" spans="1:5" x14ac:dyDescent="0.25">
      <c r="E160" s="4"/>
    </row>
    <row r="161" spans="4:5" x14ac:dyDescent="0.25">
      <c r="D161" s="7" t="s">
        <v>198</v>
      </c>
      <c r="E161" s="80">
        <f>HLOOKUP($D$5,'4.1 Comptes 2021 natures'!$E$3:$BE$158,155,0)</f>
        <v>44928.100000000006</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2023-06-02T09:21:30Z</dcterms:modified>
</cp:coreProperties>
</file>