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16" activeTab="16"/>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<sst xmlns="http://schemas.openxmlformats.org/spreadsheetml/2006/main" count="5455" uniqueCount="864">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</sst>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2">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xf numFmtId="0" fontId="6" fillId="0" borderId="0" xfId="0" applyFont="1"/>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6" t="s">
        <v>71</v>
      </c>
      <c r="C5" s="217"/>
      <c r="D5" s="218"/>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tabSelected="1" workbookViewId="0">
      <selection activeCell="B5" sqref="B5"/>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c r="B3" s="231" t="s">
        <v>797</v>
      </c>
    </row>
    <row r="4" spans="1:3" ht="15.75" thickBot="1" x14ac:dyDescent="0.3">
      <c r="B4" s="174" t="s">
        <v>56</v>
      </c>
    </row>
    <row r="6" spans="1:3" x14ac:dyDescent="0.25">
      <c r="C6" s="65" t="s">
        <v>202</v>
      </c>
    </row>
    <row r="7" spans="1:3" x14ac:dyDescent="0.25">
      <c r="A7" s="68">
        <v>0</v>
      </c>
      <c r="B7" s="69" t="s">
        <v>299</v>
      </c>
      <c r="C7" s="70">
        <f>C8-C9</f>
        <v>352459.13999999996</v>
      </c>
    </row>
    <row r="8" spans="1:3" x14ac:dyDescent="0.25">
      <c r="A8" s="64"/>
      <c r="B8" s="67" t="s">
        <v>310</v>
      </c>
      <c r="C8" s="4">
        <f>HLOOKUP($B$4,'4.11 Comptes 2020 fonctionnelle'!$C$3:$BC$47,3,0)</f>
        <v>366239.79</v>
      </c>
    </row>
    <row r="9" spans="1:3" x14ac:dyDescent="0.25">
      <c r="A9" s="64"/>
      <c r="B9" s="67" t="s">
        <v>311</v>
      </c>
      <c r="C9" s="4">
        <f>HLOOKUP($B$4,'4.11 Comptes 2020 fonctionnelle'!$C$3:$BC$47,4,0)</f>
        <v>13780.65</v>
      </c>
    </row>
    <row r="10" spans="1:3" x14ac:dyDescent="0.25">
      <c r="A10" s="65"/>
      <c r="B10" s="7"/>
      <c r="C10" s="4"/>
    </row>
    <row r="11" spans="1:3" x14ac:dyDescent="0.25">
      <c r="A11" s="68" t="s">
        <v>300</v>
      </c>
      <c r="B11" s="69" t="s">
        <v>301</v>
      </c>
      <c r="C11" s="70">
        <f>C12-C13</f>
        <v>30922.399999999994</v>
      </c>
    </row>
    <row r="12" spans="1:3" x14ac:dyDescent="0.25">
      <c r="A12" s="64"/>
      <c r="B12" s="67" t="s">
        <v>310</v>
      </c>
      <c r="C12" s="4">
        <f>HLOOKUP($B$4,'4.11 Comptes 2020 fonctionnelle'!$C$3:$BC$47,7,0)</f>
        <v>91775.9</v>
      </c>
    </row>
    <row r="13" spans="1:3" x14ac:dyDescent="0.25">
      <c r="A13" s="64"/>
      <c r="B13" s="67" t="s">
        <v>311</v>
      </c>
      <c r="C13" s="4">
        <f>HLOOKUP($B$4,'4.11 Comptes 2020 fonctionnelle'!$C$3:$BC$47,8,0)</f>
        <v>60853.5</v>
      </c>
    </row>
    <row r="14" spans="1:3" x14ac:dyDescent="0.25">
      <c r="A14" s="65"/>
      <c r="B14" s="7"/>
      <c r="C14" s="4"/>
    </row>
    <row r="15" spans="1:3" x14ac:dyDescent="0.25">
      <c r="A15" s="71">
        <v>2</v>
      </c>
      <c r="B15" s="69" t="s">
        <v>302</v>
      </c>
      <c r="C15" s="70">
        <f>C16-C17</f>
        <v>1300540.0399999998</v>
      </c>
    </row>
    <row r="16" spans="1:3" x14ac:dyDescent="0.25">
      <c r="A16" s="65"/>
      <c r="B16" s="67" t="s">
        <v>310</v>
      </c>
      <c r="C16" s="4">
        <f>HLOOKUP($B$4,'4.11 Comptes 2020 fonctionnelle'!$C$3:$BC$47,11,0)</f>
        <v>1341325.3899999999</v>
      </c>
    </row>
    <row r="17" spans="1:3" x14ac:dyDescent="0.25">
      <c r="A17" s="65"/>
      <c r="B17" s="67" t="s">
        <v>311</v>
      </c>
      <c r="C17" s="4">
        <f>HLOOKUP($B$4,'4.11 Comptes 2020 fonctionnelle'!$C$3:$BC$47,12,0)</f>
        <v>40785.35</v>
      </c>
    </row>
    <row r="18" spans="1:3" x14ac:dyDescent="0.25">
      <c r="A18" s="65"/>
      <c r="B18" s="7"/>
      <c r="C18" s="4"/>
    </row>
    <row r="19" spans="1:3" x14ac:dyDescent="0.25">
      <c r="A19" s="71">
        <v>3</v>
      </c>
      <c r="B19" s="69" t="s">
        <v>303</v>
      </c>
      <c r="C19" s="70">
        <f>C20-C21</f>
        <v>21519</v>
      </c>
    </row>
    <row r="20" spans="1:3" x14ac:dyDescent="0.25">
      <c r="A20" s="65"/>
      <c r="B20" s="67" t="s">
        <v>310</v>
      </c>
      <c r="C20" s="4">
        <f>HLOOKUP($B$4,'4.11 Comptes 2020 fonctionnelle'!$C$3:$BC$47,15,0)</f>
        <v>22519</v>
      </c>
    </row>
    <row r="21" spans="1:3" x14ac:dyDescent="0.25">
      <c r="A21" s="65"/>
      <c r="B21" s="67" t="s">
        <v>311</v>
      </c>
      <c r="C21" s="4">
        <f>HLOOKUP($B$4,'4.11 Comptes 2020 fonctionnelle'!$C$3:$BC$47,16,0)</f>
        <v>1000</v>
      </c>
    </row>
    <row r="22" spans="1:3" x14ac:dyDescent="0.25">
      <c r="A22" s="65"/>
      <c r="B22" s="7"/>
      <c r="C22" s="4"/>
    </row>
    <row r="23" spans="1:3" x14ac:dyDescent="0.25">
      <c r="A23" s="71">
        <v>4</v>
      </c>
      <c r="B23" s="69" t="s">
        <v>304</v>
      </c>
      <c r="C23" s="70">
        <f>C24-C25</f>
        <v>7417.54</v>
      </c>
    </row>
    <row r="24" spans="1:3" x14ac:dyDescent="0.25">
      <c r="A24" s="65"/>
      <c r="B24" s="67" t="s">
        <v>310</v>
      </c>
      <c r="C24" s="4">
        <f>HLOOKUP($B$4,'4.11 Comptes 2020 fonctionnelle'!$C$3:$BC$47,19,0)</f>
        <v>7417.54</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743888.3</v>
      </c>
    </row>
    <row r="28" spans="1:3" x14ac:dyDescent="0.25">
      <c r="A28" s="65"/>
      <c r="B28" s="67" t="s">
        <v>310</v>
      </c>
      <c r="C28" s="4">
        <f>HLOOKUP($B$4,'4.11 Comptes 2020 fonctionnelle'!$C$3:$BC$47,23,0)</f>
        <v>902289.4</v>
      </c>
    </row>
    <row r="29" spans="1:3" x14ac:dyDescent="0.25">
      <c r="A29" s="65"/>
      <c r="B29" s="67" t="s">
        <v>311</v>
      </c>
      <c r="C29" s="4">
        <f>HLOOKUP($B$4,'4.11 Comptes 2020 fonctionnelle'!$C$3:$BC$47,24,0)</f>
        <v>158401.1</v>
      </c>
    </row>
    <row r="30" spans="1:3" x14ac:dyDescent="0.25">
      <c r="A30" s="65"/>
      <c r="B30" s="7"/>
      <c r="C30" s="4"/>
    </row>
    <row r="31" spans="1:3" x14ac:dyDescent="0.25">
      <c r="A31" s="71">
        <v>6</v>
      </c>
      <c r="B31" s="69" t="s">
        <v>306</v>
      </c>
      <c r="C31" s="70">
        <f>C32-C33</f>
        <v>249719.37</v>
      </c>
    </row>
    <row r="32" spans="1:3" x14ac:dyDescent="0.25">
      <c r="A32" s="65"/>
      <c r="B32" s="67" t="s">
        <v>310</v>
      </c>
      <c r="C32" s="4">
        <f>HLOOKUP($B$4,'4.11 Comptes 2020 fonctionnelle'!$C$3:$BC$47,27,0)</f>
        <v>328958.07</v>
      </c>
    </row>
    <row r="33" spans="1:3" x14ac:dyDescent="0.25">
      <c r="A33" s="65"/>
      <c r="B33" s="67" t="s">
        <v>311</v>
      </c>
      <c r="C33" s="4">
        <f>HLOOKUP($B$4,'4.11 Comptes 2020 fonctionnelle'!$C$3:$BC$47,28,0)</f>
        <v>79238.7</v>
      </c>
    </row>
    <row r="34" spans="1:3" x14ac:dyDescent="0.25">
      <c r="A34" s="65"/>
      <c r="B34" s="7"/>
      <c r="C34" s="4"/>
    </row>
    <row r="35" spans="1:3" x14ac:dyDescent="0.25">
      <c r="A35" s="71">
        <v>7</v>
      </c>
      <c r="B35" s="69" t="s">
        <v>307</v>
      </c>
      <c r="C35" s="70">
        <f>C36-C37</f>
        <v>-177793.18000000005</v>
      </c>
    </row>
    <row r="36" spans="1:3" x14ac:dyDescent="0.25">
      <c r="A36" s="65"/>
      <c r="B36" s="67" t="s">
        <v>310</v>
      </c>
      <c r="C36" s="4">
        <f>HLOOKUP($B$4,'4.11 Comptes 2020 fonctionnelle'!$C$3:$BC$47,31,0)</f>
        <v>426046.71999999997</v>
      </c>
    </row>
    <row r="37" spans="1:3" x14ac:dyDescent="0.25">
      <c r="A37" s="65"/>
      <c r="B37" s="67" t="s">
        <v>311</v>
      </c>
      <c r="C37" s="4">
        <f>HLOOKUP($B$4,'4.11 Comptes 2020 fonctionnelle'!$C$3:$BC$47,32,0)</f>
        <v>603839.9</v>
      </c>
    </row>
    <row r="38" spans="1:3" x14ac:dyDescent="0.25">
      <c r="A38" s="65"/>
      <c r="B38" s="7"/>
      <c r="C38" s="4"/>
    </row>
    <row r="39" spans="1:3" x14ac:dyDescent="0.25">
      <c r="A39" s="71">
        <v>8</v>
      </c>
      <c r="B39" s="69" t="s">
        <v>308</v>
      </c>
      <c r="C39" s="70">
        <f>C40-C41</f>
        <v>3251.9000000000015</v>
      </c>
    </row>
    <row r="40" spans="1:3" x14ac:dyDescent="0.25">
      <c r="A40" s="65"/>
      <c r="B40" s="67" t="s">
        <v>310</v>
      </c>
      <c r="C40" s="4">
        <f>HLOOKUP($B$4,'4.11 Comptes 2020 fonctionnelle'!$C$3:$BC$47,35,0)</f>
        <v>59795.05</v>
      </c>
    </row>
    <row r="41" spans="1:3" x14ac:dyDescent="0.25">
      <c r="A41" s="65"/>
      <c r="B41" s="67" t="s">
        <v>311</v>
      </c>
      <c r="C41" s="4">
        <f>HLOOKUP($B$4,'4.11 Comptes 2020 fonctionnelle'!$C$3:$BC$47,36,0)</f>
        <v>56543.15</v>
      </c>
    </row>
    <row r="42" spans="1:3" x14ac:dyDescent="0.25">
      <c r="A42" s="65"/>
      <c r="B42" s="7"/>
      <c r="C42" s="4"/>
    </row>
    <row r="43" spans="1:3" x14ac:dyDescent="0.25">
      <c r="A43" s="71">
        <v>9</v>
      </c>
      <c r="B43" s="69" t="s">
        <v>309</v>
      </c>
      <c r="C43" s="70">
        <f>C44-C45</f>
        <v>-2531924.5100000002</v>
      </c>
    </row>
    <row r="44" spans="1:3" ht="15" customHeight="1" x14ac:dyDescent="0.35">
      <c r="A44" s="66"/>
      <c r="B44" s="67" t="s">
        <v>310</v>
      </c>
      <c r="C44" s="4">
        <f>HLOOKUP($B$4,'4.11 Comptes 2020 fonctionnelle'!$C$3:$BC$47,39,0)</f>
        <v>204114.48</v>
      </c>
    </row>
    <row r="45" spans="1:3" ht="15" customHeight="1" x14ac:dyDescent="0.35">
      <c r="A45" s="66"/>
      <c r="B45" s="67" t="s">
        <v>311</v>
      </c>
      <c r="C45" s="4">
        <f>HLOOKUP($B$4,'4.11 Comptes 2020 fonctionnelle'!$C$3:$BC$47,40,0)</f>
        <v>2736038.99</v>
      </c>
    </row>
    <row r="46" spans="1:3" ht="21" x14ac:dyDescent="0.35">
      <c r="A46" s="66"/>
      <c r="B46" s="63"/>
      <c r="C46" s="4"/>
    </row>
    <row r="47" spans="1:3" x14ac:dyDescent="0.25">
      <c r="A47" s="71"/>
      <c r="B47" s="69" t="s">
        <v>742</v>
      </c>
      <c r="C47" s="173">
        <f>C48-C49</f>
        <v>0</v>
      </c>
    </row>
    <row r="48" spans="1:3" ht="21" x14ac:dyDescent="0.35">
      <c r="A48" s="66"/>
      <c r="B48" s="67" t="s">
        <v>310</v>
      </c>
      <c r="C48" s="4">
        <f>HLOOKUP($B$4,'4.11 Comptes 2020 fonctionnelle'!$C$3:$BC$47,43,0)</f>
        <v>3750481.3399999994</v>
      </c>
    </row>
    <row r="49" spans="1:3" ht="21" x14ac:dyDescent="0.35">
      <c r="A49" s="66"/>
      <c r="B49" s="67" t="s">
        <v>311</v>
      </c>
      <c r="C49" s="4">
        <f>HLOOKUP($B$4,'4.11 Comptes 2020 fonctionnelle'!$C$3:$BC$47,44,0)</f>
        <v>3750481.3400000003</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849</v>
      </c>
      <c r="B1" s="7"/>
      <c r="C1" s="7"/>
      <c r="D1" s="7"/>
      <c r="E1" s="78"/>
    </row>
    <row r="3" spans="1:6" ht="15.75" thickBot="1" x14ac:dyDescent="0.3"/>
    <row r="4" spans="1:6" ht="15.75" thickBot="1" x14ac:dyDescent="0.3">
      <c r="A4" t="s">
        <v>635</v>
      </c>
      <c r="E4" s="174" t="s">
        <v>25</v>
      </c>
    </row>
    <row r="7" spans="1:6" ht="21" x14ac:dyDescent="0.35">
      <c r="A7" s="73">
        <v>1</v>
      </c>
      <c r="B7" s="73"/>
      <c r="C7" s="73"/>
      <c r="D7" s="73"/>
      <c r="E7" s="73" t="s">
        <v>239</v>
      </c>
      <c r="F7" s="175">
        <f>HLOOKUP($E$4,'5. Bilan'!$F$3:$BF$226,2,0)</f>
        <v>5851353.3700000001</v>
      </c>
    </row>
    <row r="8" spans="1:6" x14ac:dyDescent="0.25">
      <c r="A8" s="78"/>
      <c r="B8" s="74">
        <v>10</v>
      </c>
      <c r="C8" s="74"/>
      <c r="D8" s="74"/>
      <c r="E8" s="74" t="s">
        <v>240</v>
      </c>
      <c r="F8" s="75">
        <f>HLOOKUP($E$4,'5. Bilan'!$F$3:$BF$226,3,0)</f>
        <v>2304845.67</v>
      </c>
    </row>
    <row r="9" spans="1:6" x14ac:dyDescent="0.25">
      <c r="A9" s="79"/>
      <c r="B9" s="79"/>
      <c r="C9" s="69">
        <v>100</v>
      </c>
      <c r="D9" s="69"/>
      <c r="E9" s="69" t="s">
        <v>241</v>
      </c>
      <c r="F9" s="176">
        <f>SUM(F10:F15)</f>
        <v>817219.69</v>
      </c>
    </row>
    <row r="10" spans="1:6" x14ac:dyDescent="0.25">
      <c r="D10">
        <v>1000</v>
      </c>
      <c r="E10" t="s">
        <v>313</v>
      </c>
      <c r="F10" s="4">
        <f>HLOOKUP($E$4,'5. Bilan'!$F$3:$BF$226,5,0)</f>
        <v>959.85</v>
      </c>
    </row>
    <row r="11" spans="1:6" x14ac:dyDescent="0.25">
      <c r="D11">
        <v>1001</v>
      </c>
      <c r="E11" t="s">
        <v>314</v>
      </c>
      <c r="F11" s="4">
        <f>HLOOKUP($E$4,'5. Bilan'!$F$3:$BF$226,6,0)</f>
        <v>6990.75</v>
      </c>
    </row>
    <row r="12" spans="1:6" x14ac:dyDescent="0.25">
      <c r="D12">
        <v>1002</v>
      </c>
      <c r="E12" t="s">
        <v>322</v>
      </c>
      <c r="F12" s="4">
        <f>HLOOKUP($E$4,'5. Bilan'!$F$3:$BF$226,7,0)</f>
        <v>809269.09</v>
      </c>
    </row>
    <row r="13" spans="1:6" x14ac:dyDescent="0.25">
      <c r="D13">
        <v>1003</v>
      </c>
      <c r="E13" t="s">
        <v>315</v>
      </c>
      <c r="F13" s="4">
        <f>HLOOKUP($E$4,'5. Bilan'!$F$3:$BF$226,8,0)</f>
        <v>0</v>
      </c>
    </row>
    <row r="14" spans="1:6" x14ac:dyDescent="0.25">
      <c r="D14">
        <v>1004</v>
      </c>
      <c r="E14" t="s">
        <v>316</v>
      </c>
      <c r="F14" s="4">
        <f>HLOOKUP($E$4,'5. Bilan'!$F$3:$BF$226,9,0)</f>
        <v>0</v>
      </c>
    </row>
    <row r="15" spans="1:6" x14ac:dyDescent="0.25">
      <c r="D15">
        <v>1009</v>
      </c>
      <c r="E15" t="s">
        <v>317</v>
      </c>
      <c r="F15" s="4">
        <f>HLOOKUP($E$4,'5. Bilan'!$F$3:$BF$226,10,0)</f>
        <v>0</v>
      </c>
    </row>
    <row r="16" spans="1:6" x14ac:dyDescent="0.25">
      <c r="F16" s="4"/>
    </row>
    <row r="17" spans="1:6" x14ac:dyDescent="0.25">
      <c r="A17" s="79"/>
      <c r="B17" s="79"/>
      <c r="C17" s="69">
        <v>101</v>
      </c>
      <c r="D17" s="69"/>
      <c r="E17" s="69" t="s">
        <v>242</v>
      </c>
      <c r="F17" s="70">
        <f>SUM(F18:F25)</f>
        <v>438183.51000000007</v>
      </c>
    </row>
    <row r="18" spans="1:6" x14ac:dyDescent="0.25">
      <c r="D18">
        <v>1010</v>
      </c>
      <c r="E18" t="s">
        <v>318</v>
      </c>
      <c r="F18" s="4">
        <f>HLOOKUP($E$4,'5. Bilan'!$F$3:$BF$226,13,0)</f>
        <v>72304.460000000006</v>
      </c>
    </row>
    <row r="19" spans="1:6" x14ac:dyDescent="0.25">
      <c r="D19">
        <v>1011</v>
      </c>
      <c r="E19" t="s">
        <v>399</v>
      </c>
      <c r="F19" s="4">
        <f>HLOOKUP($E$4,'5. Bilan'!$F$3:$BF$226,14,0)</f>
        <v>0</v>
      </c>
    </row>
    <row r="20" spans="1:6" x14ac:dyDescent="0.25">
      <c r="D20">
        <v>1012</v>
      </c>
      <c r="E20" t="s">
        <v>319</v>
      </c>
      <c r="F20" s="4">
        <f>HLOOKUP($E$4,'5. Bilan'!$F$3:$BF$226,15,0)</f>
        <v>355424.65</v>
      </c>
    </row>
    <row r="21" spans="1:6" x14ac:dyDescent="0.25">
      <c r="D21">
        <v>1013</v>
      </c>
      <c r="E21" t="s">
        <v>320</v>
      </c>
      <c r="F21" s="4">
        <f>HLOOKUP($E$4,'5. Bilan'!$F$3:$BF$226,16,0)</f>
        <v>0</v>
      </c>
    </row>
    <row r="22" spans="1:6" x14ac:dyDescent="0.25">
      <c r="D22">
        <v>1014</v>
      </c>
      <c r="E22" t="s">
        <v>321</v>
      </c>
      <c r="F22" s="4">
        <f>HLOOKUP($E$4,'5. Bilan'!$F$3:$BF$226,17,0)</f>
        <v>10454.4</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0</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154102.47</v>
      </c>
    </row>
    <row r="34" spans="3:6" x14ac:dyDescent="0.25">
      <c r="D34">
        <v>1040</v>
      </c>
      <c r="E34" t="s">
        <v>61</v>
      </c>
      <c r="F34" s="4">
        <f>HLOOKUP($E$4,'5. Bilan'!$F$3:$BF$226,29,0)</f>
        <v>0</v>
      </c>
    </row>
    <row r="35" spans="3:6" x14ac:dyDescent="0.25">
      <c r="D35">
        <v>1041</v>
      </c>
      <c r="E35" t="s">
        <v>330</v>
      </c>
      <c r="F35" s="4">
        <f>HLOOKUP($E$4,'5. Bilan'!$F$3:$BF$226,30,0)</f>
        <v>3409.8</v>
      </c>
    </row>
    <row r="36" spans="3:6" x14ac:dyDescent="0.25">
      <c r="D36">
        <v>1042</v>
      </c>
      <c r="E36" t="s">
        <v>331</v>
      </c>
      <c r="F36" s="4">
        <f>HLOOKUP($E$4,'5. Bilan'!$F$3:$BF$226,31,0)</f>
        <v>89965.61</v>
      </c>
    </row>
    <row r="37" spans="3:6" x14ac:dyDescent="0.25">
      <c r="D37">
        <v>1043</v>
      </c>
      <c r="E37" t="s">
        <v>332</v>
      </c>
      <c r="F37" s="4">
        <f>HLOOKUP($E$4,'5. Bilan'!$F$3:$BF$226,32,0)</f>
        <v>60727.06</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5</v>
      </c>
    </row>
    <row r="51" spans="3:6" x14ac:dyDescent="0.25">
      <c r="D51">
        <v>1070</v>
      </c>
      <c r="E51" t="s">
        <v>342</v>
      </c>
      <c r="F51" s="4">
        <f>HLOOKUP($E$4,'5. Bilan'!$F$3:$BF$226,46,0)</f>
        <v>5</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895335</v>
      </c>
    </row>
    <row r="57" spans="3:6" x14ac:dyDescent="0.25">
      <c r="D57">
        <v>1080</v>
      </c>
      <c r="E57" t="s">
        <v>347</v>
      </c>
      <c r="F57" s="4">
        <f>HLOOKUP($E$4,'5. Bilan'!$F$3:$BF$226,52,0)</f>
        <v>185335</v>
      </c>
    </row>
    <row r="58" spans="3:6" x14ac:dyDescent="0.25">
      <c r="D58">
        <v>1084</v>
      </c>
      <c r="E58" t="s">
        <v>348</v>
      </c>
      <c r="F58" s="4">
        <f>HLOOKUP($E$4,'5. Bilan'!$F$3:$BF$226,53,0)</f>
        <v>710000</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3546507.7</v>
      </c>
    </row>
    <row r="71" spans="2:6" x14ac:dyDescent="0.25">
      <c r="C71" s="69">
        <v>140</v>
      </c>
      <c r="D71" s="69"/>
      <c r="E71" s="69" t="s">
        <v>249</v>
      </c>
      <c r="F71" s="70">
        <f>SUM(F72:F80)</f>
        <v>3487453</v>
      </c>
    </row>
    <row r="72" spans="2:6" x14ac:dyDescent="0.25">
      <c r="D72">
        <v>1400</v>
      </c>
      <c r="E72" t="s">
        <v>357</v>
      </c>
      <c r="F72" s="4">
        <f>HLOOKUP($E$4,'5. Bilan'!$F$3:$BF$226,67,0)</f>
        <v>163195</v>
      </c>
    </row>
    <row r="73" spans="2:6" x14ac:dyDescent="0.25">
      <c r="D73">
        <v>1401</v>
      </c>
      <c r="E73" t="s">
        <v>358</v>
      </c>
      <c r="F73" s="4">
        <f>HLOOKUP($E$4,'5. Bilan'!$F$3:$BF$226,68,0)</f>
        <v>674800</v>
      </c>
    </row>
    <row r="74" spans="2:6" x14ac:dyDescent="0.25">
      <c r="D74">
        <v>1402</v>
      </c>
      <c r="E74" t="s">
        <v>359</v>
      </c>
      <c r="F74" s="4">
        <f>HLOOKUP($E$4,'5. Bilan'!$F$3:$BF$226,69,0)</f>
        <v>69545</v>
      </c>
    </row>
    <row r="75" spans="2:6" x14ac:dyDescent="0.25">
      <c r="D75">
        <v>1403</v>
      </c>
      <c r="E75" t="s">
        <v>360</v>
      </c>
      <c r="F75" s="4">
        <f>HLOOKUP($E$4,'5. Bilan'!$F$3:$BF$226,70,0)</f>
        <v>244100</v>
      </c>
    </row>
    <row r="76" spans="2:6" x14ac:dyDescent="0.25">
      <c r="D76">
        <v>1404</v>
      </c>
      <c r="E76" t="s">
        <v>361</v>
      </c>
      <c r="F76" s="4">
        <f>HLOOKUP($E$4,'5. Bilan'!$F$3:$BF$226,71,0)</f>
        <v>1124800</v>
      </c>
    </row>
    <row r="77" spans="2:6" x14ac:dyDescent="0.25">
      <c r="D77">
        <v>1405</v>
      </c>
      <c r="E77" t="s">
        <v>362</v>
      </c>
      <c r="F77" s="4">
        <f>HLOOKUP($E$4,'5. Bilan'!$F$3:$BF$226,72,0)</f>
        <v>1211010</v>
      </c>
    </row>
    <row r="78" spans="2:6" x14ac:dyDescent="0.25">
      <c r="D78">
        <v>1406</v>
      </c>
      <c r="E78" t="s">
        <v>363</v>
      </c>
      <c r="F78" s="4">
        <f>HLOOKUP($E$4,'5. Bilan'!$F$3:$BF$226,73,0)</f>
        <v>3</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36554.699999999997</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36554.699999999997</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22500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22500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0</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0</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5851353.3699999992</v>
      </c>
    </row>
    <row r="124" spans="1:6" x14ac:dyDescent="0.25">
      <c r="A124" s="7"/>
      <c r="B124" s="85">
        <v>20</v>
      </c>
      <c r="C124" s="85"/>
      <c r="D124" s="85"/>
      <c r="E124" s="85" t="s">
        <v>252</v>
      </c>
      <c r="F124" s="86">
        <f>HLOOKUP($E$4,'5. Bilan'!$F$3:$BF$226,119,0)</f>
        <v>4285692.38</v>
      </c>
    </row>
    <row r="125" spans="1:6" x14ac:dyDescent="0.25">
      <c r="C125" s="83">
        <v>200</v>
      </c>
      <c r="D125" s="83"/>
      <c r="E125" s="83" t="s">
        <v>253</v>
      </c>
      <c r="F125" s="84">
        <f>SUM(F126:F133)</f>
        <v>275797.32999999996</v>
      </c>
    </row>
    <row r="126" spans="1:6" x14ac:dyDescent="0.25">
      <c r="D126">
        <v>2000</v>
      </c>
      <c r="E126" t="s">
        <v>398</v>
      </c>
      <c r="F126" s="4">
        <f>HLOOKUP($E$4,'5. Bilan'!$F$3:$BF$226,121,0)</f>
        <v>79105.850000000006</v>
      </c>
    </row>
    <row r="127" spans="1:6" x14ac:dyDescent="0.25">
      <c r="D127">
        <v>2001</v>
      </c>
      <c r="E127" t="s">
        <v>399</v>
      </c>
      <c r="F127" s="4">
        <f>HLOOKUP($E$4,'5. Bilan'!$F$3:$BF$226,122,0)</f>
        <v>0</v>
      </c>
    </row>
    <row r="128" spans="1:6" x14ac:dyDescent="0.25">
      <c r="D128">
        <v>2002</v>
      </c>
      <c r="E128" t="s">
        <v>400</v>
      </c>
      <c r="F128" s="4">
        <f>HLOOKUP($E$4,'5. Bilan'!$F$3:$BF$226,123,0)</f>
        <v>5283.43</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191408.05</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185450.16</v>
      </c>
    </row>
    <row r="136" spans="3:6" x14ac:dyDescent="0.25">
      <c r="D136">
        <v>2010</v>
      </c>
      <c r="E136" t="s">
        <v>405</v>
      </c>
      <c r="F136" s="4">
        <f>HLOOKUP($E$4,'5. Bilan'!$F$3:$BF$226,131,0)</f>
        <v>37365.160000000003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148085</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244666.74</v>
      </c>
    </row>
    <row r="146" spans="3:6" x14ac:dyDescent="0.25">
      <c r="D146">
        <v>2040</v>
      </c>
      <c r="E146" t="s">
        <v>61</v>
      </c>
      <c r="F146" s="4">
        <f>HLOOKUP($E$4,'5. Bilan'!$F$3:$BF$226,141,0)</f>
        <v>0</v>
      </c>
    </row>
    <row r="147" spans="3:6" x14ac:dyDescent="0.25">
      <c r="D147">
        <v>2041</v>
      </c>
      <c r="E147" t="s">
        <v>277</v>
      </c>
      <c r="F147" s="4">
        <f>HLOOKUP($E$4,'5. Bilan'!$F$3:$BF$226,142,0)</f>
        <v>3248.9</v>
      </c>
    </row>
    <row r="148" spans="3:6" x14ac:dyDescent="0.25">
      <c r="D148">
        <v>2042</v>
      </c>
      <c r="E148" t="s">
        <v>331</v>
      </c>
      <c r="F148" s="4">
        <f>HLOOKUP($E$4,'5. Bilan'!$F$3:$BF$226,143,0)</f>
        <v>0</v>
      </c>
    </row>
    <row r="149" spans="3:6" x14ac:dyDescent="0.25">
      <c r="D149">
        <v>2043</v>
      </c>
      <c r="E149" t="s">
        <v>332</v>
      </c>
      <c r="F149" s="4">
        <f>HLOOKUP($E$4,'5. Bilan'!$F$3:$BF$226,144,0)</f>
        <v>241417.84</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3579778.15</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3579778.15</v>
      </c>
    </row>
    <row r="171" spans="3:6" x14ac:dyDescent="0.25">
      <c r="D171">
        <v>2064</v>
      </c>
      <c r="E171" t="s">
        <v>448</v>
      </c>
      <c r="F171" s="4">
        <f>HLOOKUP($E$4,'5. Bilan'!$F$3:$BF$226,166,0)</f>
        <v>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0</v>
      </c>
    </row>
    <row r="187" spans="2:6" x14ac:dyDescent="0.25">
      <c r="D187">
        <v>2090</v>
      </c>
      <c r="E187" t="s">
        <v>259</v>
      </c>
      <c r="F187" s="4">
        <f>HLOOKUP($E$4,'5. Bilan'!$F$3:$BF$226,182,0)</f>
        <v>0</v>
      </c>
    </row>
    <row r="188" spans="2:6" x14ac:dyDescent="0.25">
      <c r="D188">
        <v>2091</v>
      </c>
      <c r="E188" t="s">
        <v>440</v>
      </c>
      <c r="F188" s="4">
        <f>HLOOKUP($E$4,'5. Bilan'!$F$3:$BF$226,183,0)</f>
        <v>0</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1565660.9900000002</v>
      </c>
    </row>
    <row r="193" spans="3:6" x14ac:dyDescent="0.25">
      <c r="C193" s="83">
        <v>290</v>
      </c>
      <c r="D193" s="83"/>
      <c r="E193" s="83" t="s">
        <v>261</v>
      </c>
      <c r="F193" s="84">
        <f>SUM(F194)</f>
        <v>820358.56</v>
      </c>
    </row>
    <row r="194" spans="3:6" x14ac:dyDescent="0.25">
      <c r="D194">
        <v>2900</v>
      </c>
      <c r="E194" t="s">
        <v>261</v>
      </c>
      <c r="F194" s="4">
        <f>HLOOKUP($E$4,'5. Bilan'!$F$3:$BF$226,189,0)</f>
        <v>820358.56</v>
      </c>
    </row>
    <row r="195" spans="3:6" x14ac:dyDescent="0.25">
      <c r="F195" s="4"/>
    </row>
    <row r="196" spans="3:6" x14ac:dyDescent="0.25">
      <c r="C196" s="83">
        <v>291</v>
      </c>
      <c r="D196" s="83"/>
      <c r="E196" s="83" t="s">
        <v>262</v>
      </c>
      <c r="F196" s="84">
        <f>SUM(F197:F198)</f>
        <v>0</v>
      </c>
    </row>
    <row r="197" spans="3:6" x14ac:dyDescent="0.25">
      <c r="D197">
        <v>2910</v>
      </c>
      <c r="E197" t="s">
        <v>262</v>
      </c>
      <c r="F197" s="4">
        <f>HLOOKUP($E$4,'5. Bilan'!$F$3:$BF$226,192,0)</f>
        <v>0</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60000</v>
      </c>
    </row>
    <row r="207" spans="3:6" x14ac:dyDescent="0.25">
      <c r="D207">
        <v>2940</v>
      </c>
      <c r="E207" t="s">
        <v>265</v>
      </c>
      <c r="F207" s="4">
        <f>HLOOKUP($E$4,'5. Bilan'!$F$3:$BF$226,202,0)</f>
        <v>60000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685302.43</v>
      </c>
    </row>
    <row r="219" spans="3:6" x14ac:dyDescent="0.25">
      <c r="D219">
        <v>2990</v>
      </c>
      <c r="E219" t="s">
        <v>444</v>
      </c>
      <c r="F219" s="4">
        <f>HLOOKUP($E$4,'5. Bilan'!$F$3:$BF$226,214,0)</f>
        <v>66157.88</v>
      </c>
    </row>
    <row r="220" spans="3:6" x14ac:dyDescent="0.25">
      <c r="D220">
        <v>2999</v>
      </c>
      <c r="E220" t="s">
        <v>582</v>
      </c>
      <c r="F220" s="4">
        <f>HLOOKUP($E$4,'5. Bilan'!$F$3:$BF$226,215,0)</f>
        <v>619144.55000000005</v>
      </c>
    </row>
    <row r="221" spans="3:6" x14ac:dyDescent="0.25">
      <c r="F221" s="4"/>
    </row>
    <row r="222" spans="3:6" x14ac:dyDescent="0.25">
      <c r="C222" s="160"/>
      <c r="D222" s="160"/>
      <c r="E222" s="160" t="s">
        <v>587</v>
      </c>
      <c r="F222" s="178"/>
    </row>
    <row r="223" spans="3:6" x14ac:dyDescent="0.25">
      <c r="D223">
        <v>290</v>
      </c>
      <c r="E223" t="s">
        <v>586</v>
      </c>
      <c r="F223" s="4">
        <f>HLOOKUP($E$4,'5. Bilan'!$F$3:$BF$226,218,0)</f>
        <v>49855.73</v>
      </c>
    </row>
    <row r="224" spans="3:6" x14ac:dyDescent="0.25">
      <c r="D224">
        <v>2990</v>
      </c>
      <c r="E224" t="s">
        <v>590</v>
      </c>
      <c r="F224" s="4">
        <f>HLOOKUP($E$4,'5. Bilan'!$F$3:$BF$226,219,0)</f>
        <v>66157.88</v>
      </c>
    </row>
    <row r="225" spans="5:6" x14ac:dyDescent="0.25">
      <c r="F225" s="4"/>
    </row>
    <row r="226" spans="5:6" x14ac:dyDescent="0.25">
      <c r="E226" s="7" t="s">
        <v>589</v>
      </c>
      <c r="F226" s="4">
        <f>HLOOKUP($E$4,'5. Bilan'!$F$3:$BF$226,221,0)</f>
        <v>116013.61000000002</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2023-06-06T04:07:01Z</dcterms:modified>
</cp:coreProperties>
</file>