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5" activeTab="35"/>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1b Graphique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r:id="rId36"/>
    <sheet name="Récapitulatif" sheetId="40" state="hidden" r:id="rId37"/>
    <sheet name="Indicateurs par commune" sheetId="43" state="hidden" r:id="rId38"/>
    <sheet name="8.1 Bourgeoisies Comptes 2021" sheetId="55" state="hidden" r:id="rId39"/>
    <sheet name="8.2 Comptes par Bourgeoisie" sheetId="56" state="hidden" r:id="rId40"/>
    <sheet name="8.5 Bourgeoisie vue d'ensemble" sheetId="57" state="hidden" r:id="rId41"/>
    <sheet name="8.6 Vue par Bourgeoisie" sheetId="58" state="hidden" r:id="rId42"/>
    <sheet name="8.3 Bourgeoisie 3 niveaux" sheetId="59" state="hidden" r:id="rId43"/>
    <sheet name="8.4 3 niveaux par bourgeoisie" sheetId="60" state="hidden" r:id="rId44"/>
    <sheet name="8.7 Autofinancement" sheetId="61" state="hidden" r:id="rId45"/>
    <sheet name="8.8 par Bourgeoisie" sheetId="62" state="hidden" r:id="rId46"/>
    <sheet name="8.9 Bourgeoisie bilan" sheetId="63" state="hidden" r:id="rId47"/>
    <sheet name="8.10 Bilan par bourgeoisie" sheetId="64" state="hidden" r:id="rId48"/>
    <sheet name="8.11 Bourgeoisie endettement" sheetId="65" state="hidden" r:id="rId49"/>
    <sheet name="8.12Endettement par bourgeoisie" sheetId="66" state="hidden" r:id="rId50"/>
    <sheet name="8.13 Bourgeoisie investissement" sheetId="67" state="hidden" r:id="rId51"/>
    <sheet name="8.14 par bourgeoisie" sheetId="68" state="hidden" r:id="rId52"/>
    <sheet name="9.1 Syndicats comptes 2021" sheetId="69" state="hidden" r:id="rId53"/>
    <sheet name="9.2 Comptes 2021 par Syndicats" sheetId="70" state="hidden" r:id="rId54"/>
    <sheet name="9.5 Syndicats vue d'ensemble" sheetId="71" state="hidden" r:id="rId55"/>
    <sheet name="9.6 Vue d'ensemble par syndicat" sheetId="72" state="hidden" r:id="rId56"/>
    <sheet name="9.3 Syndicats à 3 niveaux" sheetId="73" state="hidden" r:id="rId57"/>
    <sheet name="9.4 3 niveaux par syndicat" sheetId="74" state="hidden" r:id="rId58"/>
    <sheet name="9.7 Syndicats Bilan" sheetId="75" state="hidden" r:id="rId59"/>
    <sheet name="9.8 Bilan par Syndicats" sheetId="76" state="hidden" r:id="rId60"/>
    <sheet name="9.9 Syndicats endettement" sheetId="77" state="hidden" r:id="rId61"/>
    <sheet name="9.10 Endettement par syndicat" sheetId="78" state="hidden" r:id="rId62"/>
  </sheets>
  <definedNames>
    <definedName name="_xlnm.Print_Area" localSheetId="13">'4.7 Autofinancement'!$A$1:$D$92</definedName>
    <definedName name="_xlnm.Print_Area" localSheetId="45">'8.8 par Bourgeoisie'!$A$1:$E$34</definedName>
    <definedName name="_xlnm.Print_Area" localSheetId="36">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35" l="1"/>
  <c r="BL48" i="42"/>
  <c r="BH22" i="35"/>
  <c r="BG22" i="35"/>
  <c r="BF22" i="35"/>
  <c r="F22" i="35"/>
  <c r="G22" i="35"/>
  <c r="H22" i="35"/>
  <c r="I22" i="35"/>
  <c r="J22" i="35"/>
  <c r="K22" i="35"/>
  <c r="L22" i="35"/>
  <c r="M22" i="35"/>
  <c r="N22" i="35"/>
  <c r="O22" i="35"/>
  <c r="P22" i="35"/>
  <c r="Q22" i="35"/>
  <c r="R22" i="35"/>
  <c r="S22" i="35"/>
  <c r="T22" i="35"/>
  <c r="U22" i="35"/>
  <c r="V22" i="35"/>
  <c r="W22" i="35"/>
  <c r="X22" i="35"/>
  <c r="Y22" i="35"/>
  <c r="Z22" i="35"/>
  <c r="AA22" i="35"/>
  <c r="AB22" i="35"/>
  <c r="AC22" i="35"/>
  <c r="AD22" i="35"/>
  <c r="AE22" i="35"/>
  <c r="AF22" i="35"/>
  <c r="AG22" i="35"/>
  <c r="AH22" i="35"/>
  <c r="AI22" i="35"/>
  <c r="AJ22" i="35"/>
  <c r="AK22" i="35"/>
  <c r="AL22" i="35"/>
  <c r="AM22" i="35"/>
  <c r="AN22" i="35"/>
  <c r="AO22" i="35"/>
  <c r="AP22" i="35"/>
  <c r="AQ22" i="35"/>
  <c r="AR22" i="35"/>
  <c r="AS22" i="35"/>
  <c r="AT22" i="35"/>
  <c r="AU22" i="35"/>
  <c r="AV22" i="35"/>
  <c r="AW22" i="35"/>
  <c r="AX22" i="35"/>
  <c r="AY22" i="35"/>
  <c r="AZ22" i="35"/>
  <c r="BA22" i="35"/>
  <c r="BB22" i="35"/>
  <c r="BC22" i="35"/>
  <c r="BD22" i="35"/>
  <c r="BE22" i="35"/>
  <c r="F10" i="39"/>
  <c r="G10" i="39"/>
  <c r="H10" i="39"/>
  <c r="I10" i="39"/>
  <c r="J10" i="39"/>
  <c r="K10" i="39"/>
  <c r="L10" i="39"/>
  <c r="M10" i="39"/>
  <c r="N10" i="39"/>
  <c r="O10" i="39"/>
  <c r="P10" i="39"/>
  <c r="Q10" i="39"/>
  <c r="R10" i="39"/>
  <c r="S10" i="39"/>
  <c r="T10" i="39"/>
  <c r="U10" i="39"/>
  <c r="V10" i="39"/>
  <c r="W10" i="39"/>
  <c r="X10" i="39"/>
  <c r="Y10" i="39"/>
  <c r="Z10" i="39"/>
  <c r="AA10" i="39"/>
  <c r="AB10" i="39"/>
  <c r="AC10" i="39"/>
  <c r="AD10" i="39"/>
  <c r="AE10" i="39"/>
  <c r="AF10" i="39"/>
  <c r="AG10" i="39"/>
  <c r="AH10" i="39"/>
  <c r="AI10" i="39"/>
  <c r="AJ10" i="39"/>
  <c r="AK10" i="39"/>
  <c r="AL10" i="39"/>
  <c r="AM10" i="39"/>
  <c r="AN10" i="39"/>
  <c r="AO10" i="39"/>
  <c r="AP10" i="39"/>
  <c r="AQ10" i="39"/>
  <c r="AR10" i="39"/>
  <c r="AS10" i="39"/>
  <c r="AT10" i="39"/>
  <c r="AU10" i="39"/>
  <c r="AV10" i="39"/>
  <c r="AW10" i="39"/>
  <c r="AX10" i="39"/>
  <c r="AY10" i="39"/>
  <c r="AZ10" i="39"/>
  <c r="BA10" i="39"/>
  <c r="BB10" i="39"/>
  <c r="BC10" i="39"/>
  <c r="BD10" i="39"/>
  <c r="BE10" i="39"/>
  <c r="E10" i="39"/>
  <c r="F24" i="38" l="1"/>
  <c r="G24" i="38"/>
  <c r="H24" i="38"/>
  <c r="I24" i="38"/>
  <c r="J24" i="38"/>
  <c r="K24" i="38"/>
  <c r="L24" i="38"/>
  <c r="M24" i="38"/>
  <c r="N24" i="38"/>
  <c r="O24" i="38"/>
  <c r="P24" i="38"/>
  <c r="Q24" i="38"/>
  <c r="R24" i="38"/>
  <c r="S24" i="38"/>
  <c r="T24" i="38"/>
  <c r="U24" i="38"/>
  <c r="V24" i="38"/>
  <c r="W24" i="38"/>
  <c r="X24" i="38"/>
  <c r="Y24" i="38"/>
  <c r="Z24" i="38"/>
  <c r="AA24" i="38"/>
  <c r="AB24" i="38"/>
  <c r="AC24" i="38"/>
  <c r="AD24" i="38"/>
  <c r="AE24" i="38"/>
  <c r="AF24" i="38"/>
  <c r="AG24" i="38"/>
  <c r="AH24" i="38"/>
  <c r="AI24" i="38"/>
  <c r="AJ24" i="38"/>
  <c r="AK24" i="38"/>
  <c r="AL24" i="38"/>
  <c r="AM24" i="38"/>
  <c r="AN24" i="38"/>
  <c r="AO24" i="38"/>
  <c r="AP24" i="38"/>
  <c r="AQ24" i="38"/>
  <c r="AR24" i="38"/>
  <c r="AS24" i="38"/>
  <c r="AT24" i="38"/>
  <c r="AU24" i="38"/>
  <c r="AV24" i="38"/>
  <c r="AW24" i="38"/>
  <c r="AX24" i="38"/>
  <c r="AY24" i="38"/>
  <c r="AZ24" i="38"/>
  <c r="BA24" i="38"/>
  <c r="BB24" i="38"/>
  <c r="BC24" i="38"/>
  <c r="BD24" i="38"/>
  <c r="BE24" i="38"/>
  <c r="E24" i="38"/>
  <c r="F44" i="35" l="1"/>
  <c r="G44" i="35"/>
  <c r="H44" i="35"/>
  <c r="I44" i="35"/>
  <c r="J44" i="35"/>
  <c r="K44" i="35"/>
  <c r="L44" i="35"/>
  <c r="M44" i="35"/>
  <c r="N44" i="35"/>
  <c r="O44" i="35"/>
  <c r="P44" i="35"/>
  <c r="Q44" i="35"/>
  <c r="R44" i="35"/>
  <c r="S44" i="35"/>
  <c r="T44" i="35"/>
  <c r="U44" i="35"/>
  <c r="V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E44" i="35"/>
  <c r="F43" i="35"/>
  <c r="G43" i="35"/>
  <c r="H43" i="35"/>
  <c r="I43" i="35"/>
  <c r="J43" i="35"/>
  <c r="K43" i="35"/>
  <c r="L43" i="35"/>
  <c r="M43" i="35"/>
  <c r="N43" i="35"/>
  <c r="O43" i="35"/>
  <c r="P43" i="35"/>
  <c r="Q43" i="35"/>
  <c r="R43" i="35"/>
  <c r="S43" i="35"/>
  <c r="T43" i="35"/>
  <c r="U43" i="35"/>
  <c r="V43" i="35"/>
  <c r="W43" i="35"/>
  <c r="X43" i="35"/>
  <c r="Y43" i="35"/>
  <c r="Z43" i="35"/>
  <c r="AA43" i="35"/>
  <c r="AB43" i="35"/>
  <c r="AC43" i="35"/>
  <c r="AD43" i="35"/>
  <c r="AE43" i="35"/>
  <c r="AF43" i="35"/>
  <c r="AG43" i="35"/>
  <c r="AH43" i="35"/>
  <c r="AI43" i="35"/>
  <c r="AJ43" i="35"/>
  <c r="AK43" i="35"/>
  <c r="AL43" i="35"/>
  <c r="AM43" i="35"/>
  <c r="AN43" i="35"/>
  <c r="AO43" i="35"/>
  <c r="AP43" i="35"/>
  <c r="AQ43" i="35"/>
  <c r="AR43" i="35"/>
  <c r="AS43" i="35"/>
  <c r="AT43" i="35"/>
  <c r="AU43" i="35"/>
  <c r="AV43" i="35"/>
  <c r="AW43" i="35"/>
  <c r="AX43" i="35"/>
  <c r="AY43" i="35"/>
  <c r="AZ43" i="35"/>
  <c r="BA43" i="35"/>
  <c r="BB43" i="35"/>
  <c r="BC43" i="35"/>
  <c r="BD43" i="35"/>
  <c r="BE43" i="35"/>
  <c r="E43"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E30" i="35"/>
  <c r="BJ54" i="42"/>
  <c r="BF104" i="23" l="1"/>
  <c r="BH1" i="24" l="1"/>
  <c r="BI1" i="24"/>
  <c r="BJ1" i="24"/>
  <c r="BG1" i="24"/>
  <c r="E55" i="84" l="1"/>
  <c r="D55" i="84"/>
  <c r="C55" i="84"/>
  <c r="B55" i="84"/>
  <c r="E47" i="84"/>
  <c r="D47" i="84"/>
  <c r="C47" i="84"/>
  <c r="B47" i="84"/>
  <c r="E40" i="84"/>
  <c r="D40" i="84"/>
  <c r="C40" i="84"/>
  <c r="B40" i="84"/>
  <c r="E29" i="84"/>
  <c r="D29" i="84"/>
  <c r="C29" i="84"/>
  <c r="B29" i="84"/>
  <c r="E28" i="84"/>
  <c r="D28" i="84"/>
  <c r="C28" i="84"/>
  <c r="B28" i="84"/>
  <c r="E27" i="84"/>
  <c r="D27" i="84"/>
  <c r="C27" i="84"/>
  <c r="B27" i="84"/>
  <c r="E26" i="84"/>
  <c r="D26" i="84"/>
  <c r="C26" i="84"/>
  <c r="B26" i="84"/>
  <c r="E22" i="84"/>
  <c r="D22" i="84"/>
  <c r="C22" i="84"/>
  <c r="B22" i="84"/>
  <c r="E20" i="84"/>
  <c r="D20" i="84"/>
  <c r="C20" i="84"/>
  <c r="B20" i="84"/>
  <c r="E17" i="84"/>
  <c r="D17" i="84"/>
  <c r="C17" i="84"/>
  <c r="B17" i="84"/>
  <c r="E16" i="84"/>
  <c r="D16" i="84"/>
  <c r="C16" i="84"/>
  <c r="B16" i="84"/>
  <c r="E14" i="84"/>
  <c r="D14" i="84"/>
  <c r="C14" i="84"/>
  <c r="B14" i="84"/>
  <c r="E13" i="84"/>
  <c r="D13" i="84"/>
  <c r="C13" i="84"/>
  <c r="B13" i="84"/>
  <c r="E12" i="84"/>
  <c r="D12" i="84"/>
  <c r="C12" i="84"/>
  <c r="B12" i="84"/>
  <c r="E10" i="84"/>
  <c r="D10" i="84"/>
  <c r="C10" i="84"/>
  <c r="B10" i="84"/>
  <c r="E8" i="84"/>
  <c r="D8" i="84"/>
  <c r="C8" i="84"/>
  <c r="B8" i="84"/>
  <c r="E7" i="84"/>
  <c r="D7" i="84"/>
  <c r="C7" i="84"/>
  <c r="B7" i="84"/>
  <c r="E5" i="84"/>
  <c r="D5" i="84"/>
  <c r="C5" i="84"/>
  <c r="B5" i="84"/>
  <c r="E4" i="84"/>
  <c r="D4" i="84"/>
  <c r="C4" i="84"/>
  <c r="B4" i="84"/>
  <c r="E31" i="84"/>
  <c r="D31" i="84"/>
  <c r="C31" i="84"/>
  <c r="B31" i="84"/>
  <c r="E3" i="84"/>
  <c r="D3" i="84"/>
  <c r="C3" i="84"/>
  <c r="B3" i="84"/>
  <c r="E52" i="84"/>
  <c r="D52" i="84"/>
  <c r="C52" i="84"/>
  <c r="B52" i="84"/>
  <c r="E50" i="84"/>
  <c r="D50" i="84"/>
  <c r="C50" i="84"/>
  <c r="B50" i="84"/>
  <c r="E49" i="84"/>
  <c r="D49" i="84"/>
  <c r="C49" i="84"/>
  <c r="B49" i="84"/>
  <c r="E35" i="84"/>
  <c r="D35" i="84"/>
  <c r="C35" i="84"/>
  <c r="B35" i="84"/>
  <c r="E45" i="84"/>
  <c r="D45" i="84"/>
  <c r="C45" i="84"/>
  <c r="B45" i="84"/>
  <c r="E43" i="84"/>
  <c r="D43" i="84"/>
  <c r="C43" i="84"/>
  <c r="B43" i="84"/>
  <c r="E33" i="84"/>
  <c r="D33" i="84"/>
  <c r="C33" i="84"/>
  <c r="B33" i="84"/>
  <c r="E39" i="84"/>
  <c r="D39" i="84"/>
  <c r="C39" i="84"/>
  <c r="B39" i="84"/>
  <c r="E38" i="84"/>
  <c r="D38" i="84"/>
  <c r="C38" i="84"/>
  <c r="B38" i="84"/>
  <c r="E32" i="84"/>
  <c r="D32" i="84"/>
  <c r="C32" i="84"/>
  <c r="B32" i="84"/>
  <c r="E37" i="84"/>
  <c r="D37" i="84"/>
  <c r="C37" i="84"/>
  <c r="B37" i="84"/>
  <c r="E36" i="84"/>
  <c r="D36" i="84"/>
  <c r="C36" i="84"/>
  <c r="B36" i="84"/>
  <c r="E34" i="84"/>
  <c r="D34" i="84"/>
  <c r="C34" i="84"/>
  <c r="B34" i="84"/>
  <c r="E54" i="84"/>
  <c r="D54" i="84"/>
  <c r="C54" i="84"/>
  <c r="B54" i="84"/>
  <c r="E53" i="84"/>
  <c r="D53" i="84"/>
  <c r="C53" i="84"/>
  <c r="B53" i="84"/>
  <c r="E51" i="84"/>
  <c r="D51" i="84"/>
  <c r="C51" i="84"/>
  <c r="B51" i="84"/>
  <c r="E48" i="84"/>
  <c r="D48" i="84"/>
  <c r="C48" i="84"/>
  <c r="B48" i="84"/>
  <c r="E46" i="84"/>
  <c r="D46" i="84"/>
  <c r="C46" i="84"/>
  <c r="B46" i="84"/>
  <c r="E44" i="84"/>
  <c r="D44" i="84"/>
  <c r="C44" i="84"/>
  <c r="B44" i="84"/>
  <c r="E42" i="84"/>
  <c r="D42" i="84"/>
  <c r="C42" i="84"/>
  <c r="B42" i="84"/>
  <c r="E41" i="84"/>
  <c r="D41" i="84"/>
  <c r="C41" i="84"/>
  <c r="B41" i="84"/>
  <c r="E30" i="84"/>
  <c r="D30" i="84"/>
  <c r="C30" i="84"/>
  <c r="B30" i="84"/>
  <c r="E25" i="84"/>
  <c r="D25" i="84"/>
  <c r="C25" i="84"/>
  <c r="B25" i="84"/>
  <c r="E24" i="84"/>
  <c r="D24" i="84"/>
  <c r="C24" i="84"/>
  <c r="B24" i="84"/>
  <c r="E23" i="84"/>
  <c r="D23" i="84"/>
  <c r="C23" i="84"/>
  <c r="B23" i="84"/>
  <c r="E21" i="84"/>
  <c r="D21" i="84"/>
  <c r="C21" i="84"/>
  <c r="B21" i="84"/>
  <c r="E19" i="84"/>
  <c r="D19" i="84"/>
  <c r="C19" i="84"/>
  <c r="B19" i="84"/>
  <c r="E18" i="84"/>
  <c r="D18" i="84"/>
  <c r="C18" i="84"/>
  <c r="B18" i="84"/>
  <c r="E15" i="84"/>
  <c r="D15" i="84"/>
  <c r="C15" i="84"/>
  <c r="B15" i="84"/>
  <c r="E11" i="84"/>
  <c r="D11" i="84"/>
  <c r="C11" i="84"/>
  <c r="B11" i="84"/>
  <c r="E9" i="84"/>
  <c r="D9" i="84"/>
  <c r="C9" i="84"/>
  <c r="B9" i="84"/>
  <c r="E6" i="84"/>
  <c r="D6" i="84"/>
  <c r="C6" i="84"/>
  <c r="B6" i="84"/>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1" i="35"/>
  <c r="E32" i="35"/>
  <c r="E33" i="35"/>
  <c r="E34" i="35"/>
  <c r="E35" i="35"/>
  <c r="E36" i="35"/>
  <c r="E37" i="35"/>
  <c r="E38" i="35"/>
  <c r="E39" i="35"/>
  <c r="E22" i="35" l="1"/>
  <c r="E41" i="35"/>
  <c r="E15" i="35"/>
  <c r="E17" i="40" s="1"/>
  <c r="E46" i="35"/>
  <c r="E48" i="35" s="1"/>
  <c r="E26" i="40" s="1"/>
  <c r="E24" i="35"/>
  <c r="E24" i="40"/>
  <c r="E19" i="40"/>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8"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8"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8"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6" i="39"/>
  <c r="E12" i="39"/>
  <c r="E43" i="40" s="1"/>
  <c r="BG6" i="39"/>
  <c r="BH6" i="39"/>
  <c r="V46" i="35"/>
  <c r="W46" i="35"/>
  <c r="Y46" i="35"/>
  <c r="Z46" i="35"/>
  <c r="AA46" i="35"/>
  <c r="AB46" i="35"/>
  <c r="AC46" i="35"/>
  <c r="AD46" i="35"/>
  <c r="AE46" i="35"/>
  <c r="AF46" i="35"/>
  <c r="AH46" i="35"/>
  <c r="AI46" i="35"/>
  <c r="AJ46" i="35"/>
  <c r="AL46" i="35"/>
  <c r="AM46" i="35"/>
  <c r="AN46" i="35"/>
  <c r="AO46" i="35"/>
  <c r="AP46" i="35"/>
  <c r="AQ46" i="35"/>
  <c r="AR46" i="35"/>
  <c r="AS46" i="35"/>
  <c r="AT46" i="35"/>
  <c r="AU46" i="35"/>
  <c r="AV46" i="35"/>
  <c r="AW46" i="35"/>
  <c r="AX46" i="35"/>
  <c r="AX48" i="35" s="1"/>
  <c r="AX26" i="40" s="1"/>
  <c r="AY46" i="35"/>
  <c r="AZ46" i="35"/>
  <c r="BA46" i="35"/>
  <c r="BB46" i="35"/>
  <c r="BC46" i="35"/>
  <c r="BD46" i="35"/>
  <c r="BE46" i="35"/>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G41" i="35"/>
  <c r="H41" i="35"/>
  <c r="I41" i="35"/>
  <c r="J41" i="35"/>
  <c r="K41" i="35"/>
  <c r="L41" i="35"/>
  <c r="M41" i="35"/>
  <c r="N41" i="35"/>
  <c r="O41" i="35"/>
  <c r="P41" i="35"/>
  <c r="Q41" i="35"/>
  <c r="R41" i="35"/>
  <c r="S41" i="35"/>
  <c r="T41" i="35"/>
  <c r="U41" i="35"/>
  <c r="V41" i="35"/>
  <c r="W41" i="35"/>
  <c r="Y41" i="35"/>
  <c r="Z41" i="35"/>
  <c r="AA41" i="35"/>
  <c r="AB41" i="35"/>
  <c r="AC41" i="35"/>
  <c r="AD41" i="35"/>
  <c r="AE41" i="35"/>
  <c r="AF41" i="35"/>
  <c r="AG41" i="35"/>
  <c r="AH41" i="35"/>
  <c r="AI41" i="35"/>
  <c r="AJ41" i="35"/>
  <c r="AL41" i="35"/>
  <c r="AM41" i="35"/>
  <c r="AN41" i="35"/>
  <c r="AO41" i="35"/>
  <c r="AP41" i="35"/>
  <c r="AQ41" i="35"/>
  <c r="AR41" i="35"/>
  <c r="AS41" i="35"/>
  <c r="AT41" i="35"/>
  <c r="AU41" i="35"/>
  <c r="AV41" i="35"/>
  <c r="AW41" i="35"/>
  <c r="AX41" i="35"/>
  <c r="AY41" i="35"/>
  <c r="AZ41" i="35"/>
  <c r="BA41" i="35"/>
  <c r="BB41" i="35"/>
  <c r="BC41" i="35"/>
  <c r="BD41" i="35"/>
  <c r="BE41" i="35"/>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H17" i="35"/>
  <c r="I17" i="35"/>
  <c r="J17" i="35"/>
  <c r="K17" i="35"/>
  <c r="L17" i="35"/>
  <c r="M17" i="35"/>
  <c r="N17" i="35"/>
  <c r="O17" i="35"/>
  <c r="P17" i="35"/>
  <c r="Q17" i="35"/>
  <c r="R17" i="35"/>
  <c r="S17" i="35"/>
  <c r="T17" i="35"/>
  <c r="U17" i="35"/>
  <c r="V17" i="35"/>
  <c r="W17" i="35"/>
  <c r="X17" i="35"/>
  <c r="Y17" i="35"/>
  <c r="Z17" i="35"/>
  <c r="AA17" i="35"/>
  <c r="AB17" i="35"/>
  <c r="AC17" i="35"/>
  <c r="AD17" i="35"/>
  <c r="AE17" i="35"/>
  <c r="AF17" i="35"/>
  <c r="AG17" i="35"/>
  <c r="AH17" i="35"/>
  <c r="AI17" i="35"/>
  <c r="AJ17" i="35"/>
  <c r="AK17" i="35"/>
  <c r="AL17" i="35"/>
  <c r="AM17" i="35"/>
  <c r="AN17" i="35"/>
  <c r="AO17" i="35"/>
  <c r="AP17" i="35"/>
  <c r="AQ17" i="35"/>
  <c r="AR17" i="35"/>
  <c r="AS17" i="35"/>
  <c r="AT17" i="35"/>
  <c r="AU17" i="35"/>
  <c r="AV17" i="35"/>
  <c r="AW17" i="35"/>
  <c r="AX17" i="35"/>
  <c r="AY17" i="35"/>
  <c r="AZ17" i="35"/>
  <c r="BA17" i="35"/>
  <c r="BB17" i="35"/>
  <c r="BC17" i="35"/>
  <c r="BD17" i="35"/>
  <c r="BE17"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Z48" i="35" l="1"/>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12" i="39"/>
  <c r="AS43" i="40" s="1"/>
  <c r="AQ43" i="37"/>
  <c r="AQ35" i="40" s="1"/>
  <c r="AO43" i="37"/>
  <c r="AO35" i="40" s="1"/>
  <c r="AN40" i="36"/>
  <c r="AN31" i="40" s="1"/>
  <c r="AN43" i="37"/>
  <c r="AN35" i="40" s="1"/>
  <c r="AL43" i="37"/>
  <c r="AL35" i="40" s="1"/>
  <c r="AH43" i="37"/>
  <c r="AH35" i="40" s="1"/>
  <c r="AF43" i="37"/>
  <c r="AF35" i="40" s="1"/>
  <c r="AB43" i="37"/>
  <c r="AB35" i="40" s="1"/>
  <c r="AE43" i="37"/>
  <c r="AE35" i="40" s="1"/>
  <c r="AC12" i="39"/>
  <c r="AC43" i="40" s="1"/>
  <c r="AA43" i="37"/>
  <c r="AA35" i="40" s="1"/>
  <c r="U12" i="39"/>
  <c r="U43" i="40" s="1"/>
  <c r="AU43" i="37"/>
  <c r="AU35" i="40" s="1"/>
  <c r="AD48" i="35"/>
  <c r="AD26" i="40" s="1"/>
  <c r="AD43" i="37"/>
  <c r="AD35" i="40" s="1"/>
  <c r="P43" i="37"/>
  <c r="P35" i="40" s="1"/>
  <c r="G43" i="37"/>
  <c r="G35" i="40" s="1"/>
  <c r="I15" i="35"/>
  <c r="I17" i="40" s="1"/>
  <c r="BD43" i="37"/>
  <c r="BD35" i="40" s="1"/>
  <c r="L43" i="37"/>
  <c r="L35" i="40" s="1"/>
  <c r="M48" i="35"/>
  <c r="M26" i="40" s="1"/>
  <c r="M12" i="39"/>
  <c r="M43" i="40" s="1"/>
  <c r="Z48" i="35"/>
  <c r="Z26" i="40" s="1"/>
  <c r="BA12" i="39"/>
  <c r="BA43" i="40" s="1"/>
  <c r="BH39" i="37"/>
  <c r="O43" i="37"/>
  <c r="O35" i="40" s="1"/>
  <c r="BE12" i="39"/>
  <c r="BE43" i="40" s="1"/>
  <c r="BE24" i="35"/>
  <c r="BE19" i="40" s="1"/>
  <c r="AW12" i="39"/>
  <c r="AW43" i="40" s="1"/>
  <c r="AW24" i="35"/>
  <c r="AW19" i="40" s="1"/>
  <c r="AO12" i="39"/>
  <c r="AO43" i="40" s="1"/>
  <c r="AO24" i="35"/>
  <c r="AO19" i="40" s="1"/>
  <c r="AG12" i="39"/>
  <c r="AG43" i="40" s="1"/>
  <c r="AG24" i="35"/>
  <c r="AG19" i="40" s="1"/>
  <c r="Y12" i="39"/>
  <c r="Y43" i="40" s="1"/>
  <c r="Y24" i="35"/>
  <c r="Y19" i="40" s="1"/>
  <c r="Q12" i="39"/>
  <c r="Q43" i="40" s="1"/>
  <c r="Q24" i="35"/>
  <c r="Q19" i="40" s="1"/>
  <c r="I12" i="39"/>
  <c r="I43" i="40" s="1"/>
  <c r="BG12" i="35"/>
  <c r="BF12" i="35"/>
  <c r="F15" i="35"/>
  <c r="BG13" i="35"/>
  <c r="BF13" i="35"/>
  <c r="X15" i="35"/>
  <c r="BC12" i="39"/>
  <c r="BC43" i="40" s="1"/>
  <c r="BC24" i="35"/>
  <c r="BC19" i="40" s="1"/>
  <c r="AY12" i="39"/>
  <c r="AY43" i="40" s="1"/>
  <c r="AY24" i="35"/>
  <c r="AY19" i="40" s="1"/>
  <c r="AU12" i="39"/>
  <c r="AU43" i="40" s="1"/>
  <c r="AU24" i="35"/>
  <c r="AU19" i="40" s="1"/>
  <c r="AQ12" i="39"/>
  <c r="AQ43" i="40" s="1"/>
  <c r="AQ24" i="35"/>
  <c r="AQ19" i="40" s="1"/>
  <c r="AM12" i="39"/>
  <c r="AM43" i="40" s="1"/>
  <c r="AM24" i="35"/>
  <c r="AM19" i="40" s="1"/>
  <c r="BH17" i="35"/>
  <c r="AI12" i="39"/>
  <c r="AI43" i="40" s="1"/>
  <c r="AI24" i="35"/>
  <c r="AI19" i="40" s="1"/>
  <c r="AE12" i="39"/>
  <c r="AE43" i="40" s="1"/>
  <c r="AE24" i="35"/>
  <c r="AE19" i="40" s="1"/>
  <c r="AA12" i="39"/>
  <c r="AA43" i="40" s="1"/>
  <c r="AA24" i="35"/>
  <c r="AA19" i="40" s="1"/>
  <c r="W12" i="39"/>
  <c r="W43" i="40" s="1"/>
  <c r="W24" i="35"/>
  <c r="W19" i="40" s="1"/>
  <c r="S12" i="39"/>
  <c r="S43" i="40" s="1"/>
  <c r="S24" i="35"/>
  <c r="S19" i="40" s="1"/>
  <c r="O12" i="39"/>
  <c r="O43" i="40" s="1"/>
  <c r="O24" i="35"/>
  <c r="O19" i="40" s="1"/>
  <c r="K12" i="39"/>
  <c r="K43" i="40" s="1"/>
  <c r="K24" i="35"/>
  <c r="K19" i="40" s="1"/>
  <c r="G12" i="39"/>
  <c r="G43" i="40" s="1"/>
  <c r="G24" i="35"/>
  <c r="G19" i="40" s="1"/>
  <c r="BH18" i="35"/>
  <c r="BH19" i="35"/>
  <c r="BH20" i="35"/>
  <c r="BA24" i="35"/>
  <c r="BA19" i="40" s="1"/>
  <c r="BE24" i="40"/>
  <c r="BE28" i="38"/>
  <c r="BE39" i="40" s="1"/>
  <c r="BC24" i="40"/>
  <c r="BC28" i="38"/>
  <c r="BC39" i="40" s="1"/>
  <c r="BA24" i="40"/>
  <c r="BA28" i="38"/>
  <c r="BA39" i="40" s="1"/>
  <c r="AY24" i="40"/>
  <c r="AY28" i="38"/>
  <c r="AY39" i="40" s="1"/>
  <c r="AW24" i="40"/>
  <c r="AW28" i="38"/>
  <c r="AW39" i="40" s="1"/>
  <c r="AU24" i="40"/>
  <c r="AU28" i="38"/>
  <c r="AU39" i="40" s="1"/>
  <c r="AS24" i="40"/>
  <c r="AS28" i="38"/>
  <c r="AS39" i="40" s="1"/>
  <c r="AQ24" i="40"/>
  <c r="AQ28" i="38"/>
  <c r="AQ39" i="40" s="1"/>
  <c r="AO24" i="40"/>
  <c r="AO28" i="38"/>
  <c r="AO39" i="40" s="1"/>
  <c r="AM24" i="40"/>
  <c r="AM28" i="38"/>
  <c r="AM39" i="40" s="1"/>
  <c r="AI24" i="40"/>
  <c r="AI28" i="38"/>
  <c r="AI39" i="40" s="1"/>
  <c r="AG24" i="40"/>
  <c r="AG28" i="38"/>
  <c r="AG39" i="40" s="1"/>
  <c r="AE24" i="40"/>
  <c r="AE28" i="38"/>
  <c r="AE39" i="40" s="1"/>
  <c r="AC24" i="40"/>
  <c r="AC28" i="38"/>
  <c r="AC39" i="40" s="1"/>
  <c r="AA24" i="40"/>
  <c r="AA28" i="38"/>
  <c r="AA39" i="40" s="1"/>
  <c r="Y24" i="40"/>
  <c r="Y28" i="38"/>
  <c r="Y39" i="40" s="1"/>
  <c r="W24" i="40"/>
  <c r="W28" i="38"/>
  <c r="W39" i="40" s="1"/>
  <c r="U24" i="40"/>
  <c r="U28" i="38"/>
  <c r="U39" i="40" s="1"/>
  <c r="S24" i="40"/>
  <c r="S28" i="38"/>
  <c r="S39" i="40" s="1"/>
  <c r="Q24" i="40"/>
  <c r="Q28" i="38"/>
  <c r="Q39" i="40" s="1"/>
  <c r="O24" i="40"/>
  <c r="O28" i="38"/>
  <c r="O39" i="40" s="1"/>
  <c r="M24" i="40"/>
  <c r="M28" i="38"/>
  <c r="M39" i="40" s="1"/>
  <c r="K24" i="40"/>
  <c r="K28" i="38"/>
  <c r="K39" i="40" s="1"/>
  <c r="I24" i="40"/>
  <c r="I28" i="38"/>
  <c r="I39" i="40" s="1"/>
  <c r="G24" i="40"/>
  <c r="G28" i="38"/>
  <c r="G39" i="40" s="1"/>
  <c r="BH30" i="35"/>
  <c r="BH31" i="35"/>
  <c r="BH32" i="35"/>
  <c r="BH33" i="35"/>
  <c r="BH34" i="35"/>
  <c r="BH35" i="35"/>
  <c r="BH36" i="35"/>
  <c r="BH37" i="35"/>
  <c r="BH38" i="35"/>
  <c r="BH39" i="35"/>
  <c r="AK41" i="35"/>
  <c r="BH43" i="35"/>
  <c r="BH44" i="35"/>
  <c r="AK46" i="35"/>
  <c r="BH12" i="35"/>
  <c r="BH13" i="35"/>
  <c r="AK15" i="35"/>
  <c r="AK24" i="35" s="1"/>
  <c r="AK19" i="40" s="1"/>
  <c r="BD12" i="39"/>
  <c r="BD43" i="40" s="1"/>
  <c r="BD24" i="35"/>
  <c r="BD19" i="40" s="1"/>
  <c r="BB12" i="39"/>
  <c r="BB43" i="40" s="1"/>
  <c r="BB24" i="35"/>
  <c r="BB19" i="40" s="1"/>
  <c r="AZ12" i="39"/>
  <c r="AZ43" i="40" s="1"/>
  <c r="AZ24" i="35"/>
  <c r="AZ19" i="40" s="1"/>
  <c r="AX12" i="39"/>
  <c r="AX43" i="40" s="1"/>
  <c r="AX24" i="35"/>
  <c r="AX19" i="40" s="1"/>
  <c r="AV12" i="39"/>
  <c r="AV43" i="40" s="1"/>
  <c r="AV24" i="35"/>
  <c r="AV19" i="40" s="1"/>
  <c r="AT12" i="39"/>
  <c r="AT43" i="40" s="1"/>
  <c r="AT24" i="35"/>
  <c r="AT19" i="40" s="1"/>
  <c r="AR12" i="39"/>
  <c r="AR43" i="40" s="1"/>
  <c r="AR24" i="35"/>
  <c r="AR19" i="40" s="1"/>
  <c r="AP12" i="39"/>
  <c r="AP43" i="40" s="1"/>
  <c r="AP24" i="35"/>
  <c r="AP19" i="40" s="1"/>
  <c r="AN12" i="39"/>
  <c r="AN43" i="40" s="1"/>
  <c r="AN24" i="35"/>
  <c r="AN19" i="40" s="1"/>
  <c r="AL12" i="39"/>
  <c r="AL43" i="40" s="1"/>
  <c r="AL24" i="35"/>
  <c r="AL19" i="40" s="1"/>
  <c r="AJ12" i="39"/>
  <c r="AJ43" i="40" s="1"/>
  <c r="AJ24" i="35"/>
  <c r="AJ19" i="40" s="1"/>
  <c r="AH12" i="39"/>
  <c r="AH43" i="40" s="1"/>
  <c r="AH24" i="35"/>
  <c r="AH19" i="40" s="1"/>
  <c r="AF12" i="39"/>
  <c r="AF43" i="40" s="1"/>
  <c r="AF24" i="35"/>
  <c r="AF19" i="40" s="1"/>
  <c r="AD12" i="39"/>
  <c r="AD43" i="40" s="1"/>
  <c r="AD24" i="35"/>
  <c r="AD19" i="40" s="1"/>
  <c r="AB12" i="39"/>
  <c r="AB43" i="40" s="1"/>
  <c r="AB24" i="35"/>
  <c r="AB19" i="40" s="1"/>
  <c r="Z12" i="39"/>
  <c r="Z43" i="40" s="1"/>
  <c r="Z24" i="35"/>
  <c r="Z19" i="40" s="1"/>
  <c r="V12" i="39"/>
  <c r="V43" i="40" s="1"/>
  <c r="V24" i="35"/>
  <c r="V19" i="40" s="1"/>
  <c r="T12" i="39"/>
  <c r="T43" i="40" s="1"/>
  <c r="T24" i="35"/>
  <c r="T19" i="40" s="1"/>
  <c r="R12" i="39"/>
  <c r="R43" i="40" s="1"/>
  <c r="R24" i="35"/>
  <c r="R19" i="40" s="1"/>
  <c r="P12" i="39"/>
  <c r="P43" i="40" s="1"/>
  <c r="P24" i="35"/>
  <c r="P19" i="40" s="1"/>
  <c r="N12" i="39"/>
  <c r="N43" i="40" s="1"/>
  <c r="N24" i="35"/>
  <c r="N19" i="40" s="1"/>
  <c r="L12" i="39"/>
  <c r="L43" i="40" s="1"/>
  <c r="L24" i="35"/>
  <c r="L19" i="40" s="1"/>
  <c r="J12" i="39"/>
  <c r="J43" i="40" s="1"/>
  <c r="J24" i="35"/>
  <c r="J19" i="40" s="1"/>
  <c r="H12" i="39"/>
  <c r="H43" i="40" s="1"/>
  <c r="H24" i="35"/>
  <c r="H19" i="40" s="1"/>
  <c r="BD24" i="40"/>
  <c r="BD28" i="38"/>
  <c r="BD39" i="40" s="1"/>
  <c r="BB24" i="40"/>
  <c r="BB28" i="38"/>
  <c r="BB39" i="40" s="1"/>
  <c r="AZ24" i="40"/>
  <c r="AZ28" i="38"/>
  <c r="AZ39" i="40" s="1"/>
  <c r="AX24" i="40"/>
  <c r="AX28" i="38"/>
  <c r="AX39" i="40" s="1"/>
  <c r="AV24" i="40"/>
  <c r="AV28" i="38"/>
  <c r="AV39" i="40" s="1"/>
  <c r="AT24" i="40"/>
  <c r="AT28" i="38"/>
  <c r="AT39" i="40" s="1"/>
  <c r="AR24" i="40"/>
  <c r="AR28" i="38"/>
  <c r="AR39" i="40" s="1"/>
  <c r="AP24" i="40"/>
  <c r="AP28" i="38"/>
  <c r="AP39" i="40" s="1"/>
  <c r="AN24" i="40"/>
  <c r="AN28" i="38"/>
  <c r="AN39" i="40" s="1"/>
  <c r="AL24" i="40"/>
  <c r="AL28" i="38"/>
  <c r="AL39" i="40" s="1"/>
  <c r="AJ24" i="40"/>
  <c r="AJ28" i="38"/>
  <c r="AJ39" i="40" s="1"/>
  <c r="AH24" i="40"/>
  <c r="AH28" i="38"/>
  <c r="AH39" i="40" s="1"/>
  <c r="AF24" i="40"/>
  <c r="AF28" i="38"/>
  <c r="AF39" i="40" s="1"/>
  <c r="AD24" i="40"/>
  <c r="AD28" i="38"/>
  <c r="AD39" i="40" s="1"/>
  <c r="AB24" i="40"/>
  <c r="AB28" i="38"/>
  <c r="AB39" i="40" s="1"/>
  <c r="Z24" i="40"/>
  <c r="Z28" i="38"/>
  <c r="Z39" i="40" s="1"/>
  <c r="V24" i="40"/>
  <c r="V28" i="38"/>
  <c r="V39" i="40" s="1"/>
  <c r="T24" i="40"/>
  <c r="T28" i="38"/>
  <c r="T39" i="40" s="1"/>
  <c r="R24" i="40"/>
  <c r="R28" i="38"/>
  <c r="R39" i="40" s="1"/>
  <c r="P24" i="40"/>
  <c r="P28" i="38"/>
  <c r="P39" i="40" s="1"/>
  <c r="N24" i="40"/>
  <c r="N28" i="38"/>
  <c r="N39" i="40" s="1"/>
  <c r="L24" i="40"/>
  <c r="L28" i="38"/>
  <c r="L39" i="40" s="1"/>
  <c r="J24" i="40"/>
  <c r="J28" i="38"/>
  <c r="J39" i="40" s="1"/>
  <c r="H24" i="40"/>
  <c r="H28" i="38"/>
  <c r="H39" i="40" s="1"/>
  <c r="BG17" i="35"/>
  <c r="BF17" i="35"/>
  <c r="BG18" i="35"/>
  <c r="BF18" i="35"/>
  <c r="BG19" i="35"/>
  <c r="BF19" i="35"/>
  <c r="BG20" i="35"/>
  <c r="BF20"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19" i="40"/>
  <c r="AC24" i="35"/>
  <c r="AC19" i="40" s="1"/>
  <c r="U24" i="35"/>
  <c r="U19" i="40" s="1"/>
  <c r="M24" i="35"/>
  <c r="M19" i="40" s="1"/>
  <c r="BF46" i="35"/>
  <c r="F48" i="35"/>
  <c r="F26" i="40" s="1"/>
  <c r="BF26" i="40" s="1"/>
  <c r="F24" i="40"/>
  <c r="BF24" i="40" s="1"/>
  <c r="BF41" i="35"/>
  <c r="F24" i="35"/>
  <c r="F19" i="40" s="1"/>
  <c r="BH15" i="35"/>
  <c r="AK17" i="40"/>
  <c r="BH17" i="40" s="1"/>
  <c r="BH46" i="35"/>
  <c r="AK48" i="35"/>
  <c r="AK26" i="40" s="1"/>
  <c r="BH26" i="40" s="1"/>
  <c r="BG15" i="35"/>
  <c r="X17" i="40"/>
  <c r="BG17" i="40" s="1"/>
  <c r="BH10" i="39"/>
  <c r="BH12" i="39" s="1"/>
  <c r="AK12" i="39"/>
  <c r="AK43" i="40" s="1"/>
  <c r="BH43" i="40" s="1"/>
  <c r="BF15" i="35"/>
  <c r="F17" i="40"/>
  <c r="BF17" i="40" s="1"/>
  <c r="BG46" i="35"/>
  <c r="X48" i="35"/>
  <c r="X26" i="40" s="1"/>
  <c r="BG26" i="40" s="1"/>
  <c r="BG41" i="35"/>
  <c r="X24" i="40"/>
  <c r="BG24" i="38"/>
  <c r="BG24" i="35"/>
  <c r="X24" i="35"/>
  <c r="X19" i="40" s="1"/>
  <c r="BG19" i="40" s="1"/>
  <c r="AK24" i="40"/>
  <c r="BH24" i="40" s="1"/>
  <c r="BH41" i="35"/>
  <c r="BH24" i="38"/>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19" i="40" l="1"/>
  <c r="BF31" i="40"/>
  <c r="D28" i="43"/>
  <c r="BH24" i="35"/>
  <c r="BG28" i="38"/>
  <c r="X28" i="38"/>
  <c r="X39" i="40" s="1"/>
  <c r="BG39" i="40" s="1"/>
  <c r="BG48" i="35"/>
  <c r="BH48" i="35"/>
  <c r="D24" i="43"/>
  <c r="D22" i="43"/>
  <c r="BF24" i="38"/>
  <c r="F28" i="38"/>
  <c r="F39" i="40" s="1"/>
  <c r="BF48" i="35"/>
  <c r="BH28" i="38"/>
  <c r="F12" i="39"/>
  <c r="F43" i="40" s="1"/>
  <c r="BF43" i="40" s="1"/>
  <c r="BF10" i="39"/>
  <c r="BF28" i="38"/>
  <c r="X12" i="39"/>
  <c r="X43" i="40" s="1"/>
  <c r="BG43" i="40" s="1"/>
  <c r="BG10" i="39"/>
  <c r="BG12"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12" i="39" l="1"/>
  <c r="BF39" i="40"/>
  <c r="D36" i="43"/>
  <c r="D36" i="37"/>
  <c r="D35"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6"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8" i="39"/>
  <c r="D46" i="38"/>
  <c r="D15" i="38"/>
  <c r="D19" i="38" s="1"/>
  <c r="D37" i="40" s="1"/>
  <c r="D39" i="37"/>
  <c r="D23" i="36"/>
  <c r="D15" i="36"/>
  <c r="D46" i="35"/>
  <c r="D41" i="35"/>
  <c r="D24" i="38" s="1"/>
  <c r="D22" i="35"/>
  <c r="D10" i="39" s="1"/>
  <c r="D15" i="35"/>
  <c r="D17" i="40" s="1"/>
  <c r="D26" i="38" l="1"/>
  <c r="D41" i="37"/>
  <c r="D43" i="37" s="1"/>
  <c r="D35" i="40" s="1"/>
  <c r="D48" i="35"/>
  <c r="D26" i="40" s="1"/>
  <c r="D12"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4" i="39"/>
  <c r="E10" i="38"/>
  <c r="E17" i="38" s="1"/>
  <c r="E10" i="37"/>
  <c r="E10" i="36"/>
  <c r="E10" i="35"/>
  <c r="G11" i="40"/>
  <c r="G4" i="39"/>
  <c r="G10" i="38"/>
  <c r="G17" i="38" s="1"/>
  <c r="G19" i="38" s="1"/>
  <c r="G37" i="40" s="1"/>
  <c r="G10" i="37"/>
  <c r="G10" i="36"/>
  <c r="G10" i="35"/>
  <c r="I11" i="40"/>
  <c r="I4" i="39"/>
  <c r="I10" i="38"/>
  <c r="I17" i="38" s="1"/>
  <c r="I19" i="38" s="1"/>
  <c r="I37" i="40" s="1"/>
  <c r="I10" i="37"/>
  <c r="I10" i="36"/>
  <c r="I10" i="35"/>
  <c r="K11" i="40"/>
  <c r="K4" i="39"/>
  <c r="K10" i="38"/>
  <c r="K17" i="38" s="1"/>
  <c r="K19" i="38" s="1"/>
  <c r="K37" i="40" s="1"/>
  <c r="K10" i="37"/>
  <c r="K10" i="36"/>
  <c r="K10" i="35"/>
  <c r="M11" i="40"/>
  <c r="M4" i="39"/>
  <c r="M10" i="38"/>
  <c r="M17" i="38" s="1"/>
  <c r="M19" i="38" s="1"/>
  <c r="M37" i="40" s="1"/>
  <c r="M10" i="37"/>
  <c r="M10" i="36"/>
  <c r="M10" i="35"/>
  <c r="O11" i="40"/>
  <c r="O4" i="39"/>
  <c r="O10" i="38"/>
  <c r="O17" i="38" s="1"/>
  <c r="O19" i="38" s="1"/>
  <c r="O37" i="40" s="1"/>
  <c r="O10" i="37"/>
  <c r="O10" i="36"/>
  <c r="O10" i="35"/>
  <c r="Q11" i="40"/>
  <c r="Q4" i="39"/>
  <c r="Q10" i="38"/>
  <c r="Q17" i="38" s="1"/>
  <c r="Q19" i="38" s="1"/>
  <c r="Q37" i="40" s="1"/>
  <c r="Q10" i="37"/>
  <c r="Q10" i="36"/>
  <c r="Q10" i="35"/>
  <c r="S11" i="40"/>
  <c r="S4" i="39"/>
  <c r="S10" i="38"/>
  <c r="S17" i="38" s="1"/>
  <c r="S19" i="38" s="1"/>
  <c r="S37" i="40" s="1"/>
  <c r="S10" i="37"/>
  <c r="S10" i="36"/>
  <c r="S10" i="35"/>
  <c r="U11" i="40"/>
  <c r="U4" i="39"/>
  <c r="U10" i="38"/>
  <c r="U17" i="38" s="1"/>
  <c r="U19" i="38" s="1"/>
  <c r="U37" i="40" s="1"/>
  <c r="U10" i="37"/>
  <c r="U10" i="36"/>
  <c r="U10" i="35"/>
  <c r="W11" i="40"/>
  <c r="W4" i="39"/>
  <c r="W10" i="38"/>
  <c r="W17" i="38" s="1"/>
  <c r="W19" i="38" s="1"/>
  <c r="W37" i="40" s="1"/>
  <c r="W10" i="37"/>
  <c r="W10" i="36"/>
  <c r="W10" i="35"/>
  <c r="Y11" i="40"/>
  <c r="Y4" i="39"/>
  <c r="Y10" i="38"/>
  <c r="Y17" i="38" s="1"/>
  <c r="Y19" i="38" s="1"/>
  <c r="Y37" i="40" s="1"/>
  <c r="Y10" i="37"/>
  <c r="Y10" i="36"/>
  <c r="Y10" i="35"/>
  <c r="AA11" i="40"/>
  <c r="AA4" i="39"/>
  <c r="AA10" i="38"/>
  <c r="AA17" i="38" s="1"/>
  <c r="AA19" i="38" s="1"/>
  <c r="AA37" i="40" s="1"/>
  <c r="AA10" i="37"/>
  <c r="AA10" i="36"/>
  <c r="AA10" i="35"/>
  <c r="AC11" i="40"/>
  <c r="AC4" i="39"/>
  <c r="AC10" i="38"/>
  <c r="AC17" i="38" s="1"/>
  <c r="AC19" i="38" s="1"/>
  <c r="AC37" i="40" s="1"/>
  <c r="AC10" i="37"/>
  <c r="AC10" i="36"/>
  <c r="AC10" i="35"/>
  <c r="AE11" i="40"/>
  <c r="AE4" i="39"/>
  <c r="AE10" i="38"/>
  <c r="AE17" i="38" s="1"/>
  <c r="AE19" i="38" s="1"/>
  <c r="AE37" i="40" s="1"/>
  <c r="AE10" i="37"/>
  <c r="AE10" i="36"/>
  <c r="AE10" i="35"/>
  <c r="AG11" i="40"/>
  <c r="AG4" i="39"/>
  <c r="AG10" i="38"/>
  <c r="AG17" i="38" s="1"/>
  <c r="AG19" i="38" s="1"/>
  <c r="AG37" i="40" s="1"/>
  <c r="AG10" i="37"/>
  <c r="AG10" i="36"/>
  <c r="AG10" i="35"/>
  <c r="AI11" i="40"/>
  <c r="AI4" i="39"/>
  <c r="AI10" i="38"/>
  <c r="AI17" i="38" s="1"/>
  <c r="AI19" i="38" s="1"/>
  <c r="AI37" i="40" s="1"/>
  <c r="AI10" i="37"/>
  <c r="AI10" i="36"/>
  <c r="AI10" i="35"/>
  <c r="AK11" i="40"/>
  <c r="AK4" i="39"/>
  <c r="AK10" i="38"/>
  <c r="AK17" i="38" s="1"/>
  <c r="AK10" i="37"/>
  <c r="AK10" i="36"/>
  <c r="AK10" i="35"/>
  <c r="AM11" i="40"/>
  <c r="AM4" i="39"/>
  <c r="AM10" i="38"/>
  <c r="AM17" i="38" s="1"/>
  <c r="AM19" i="38" s="1"/>
  <c r="AM37" i="40" s="1"/>
  <c r="AM10" i="37"/>
  <c r="AM10" i="36"/>
  <c r="AM10" i="35"/>
  <c r="AO11" i="40"/>
  <c r="AO4" i="39"/>
  <c r="AO10" i="38"/>
  <c r="AO17" i="38" s="1"/>
  <c r="AO19" i="38" s="1"/>
  <c r="AO37" i="40" s="1"/>
  <c r="AO10" i="37"/>
  <c r="AO10" i="36"/>
  <c r="AO10" i="35"/>
  <c r="AQ11" i="40"/>
  <c r="AQ4" i="39"/>
  <c r="AQ10" i="38"/>
  <c r="AQ17" i="38" s="1"/>
  <c r="AQ19" i="38" s="1"/>
  <c r="AQ37" i="40" s="1"/>
  <c r="AQ10" i="37"/>
  <c r="AQ10" i="36"/>
  <c r="AQ10" i="35"/>
  <c r="AS11" i="40"/>
  <c r="AS4" i="39"/>
  <c r="AS10" i="38"/>
  <c r="AS17" i="38" s="1"/>
  <c r="AS19" i="38" s="1"/>
  <c r="AS37" i="40" s="1"/>
  <c r="AS10" i="37"/>
  <c r="AS10" i="36"/>
  <c r="AS10" i="35"/>
  <c r="AU11" i="40"/>
  <c r="AU4" i="39"/>
  <c r="AU10" i="38"/>
  <c r="AU17" i="38" s="1"/>
  <c r="AU19" i="38" s="1"/>
  <c r="AU37" i="40" s="1"/>
  <c r="AU10" i="37"/>
  <c r="AU10" i="36"/>
  <c r="AU10" i="35"/>
  <c r="AW11" i="40"/>
  <c r="AW4" i="39"/>
  <c r="AW10" i="38"/>
  <c r="AW17" i="38" s="1"/>
  <c r="AW19" i="38" s="1"/>
  <c r="AW37" i="40" s="1"/>
  <c r="AW10" i="37"/>
  <c r="AW10" i="36"/>
  <c r="AW10" i="35"/>
  <c r="AY11" i="40"/>
  <c r="AY4" i="39"/>
  <c r="AY10" i="38"/>
  <c r="AY17" i="38" s="1"/>
  <c r="AY19" i="38" s="1"/>
  <c r="AY37" i="40" s="1"/>
  <c r="AY10" i="37"/>
  <c r="AY10" i="36"/>
  <c r="AY10" i="35"/>
  <c r="BA11" i="40"/>
  <c r="BA4" i="39"/>
  <c r="BA10" i="38"/>
  <c r="BA17" i="38" s="1"/>
  <c r="BA19" i="38" s="1"/>
  <c r="BA37" i="40" s="1"/>
  <c r="BA10" i="37"/>
  <c r="BA10" i="36"/>
  <c r="BA10" i="35"/>
  <c r="BC11" i="40"/>
  <c r="BC4" i="39"/>
  <c r="BC10" i="38"/>
  <c r="BC17" i="38" s="1"/>
  <c r="BC19" i="38" s="1"/>
  <c r="BC37" i="40" s="1"/>
  <c r="BC10" i="37"/>
  <c r="BC10" i="36"/>
  <c r="BC10" i="35"/>
  <c r="BE11" i="40"/>
  <c r="BE4" i="39"/>
  <c r="BE10" i="38"/>
  <c r="BE17" i="38" s="1"/>
  <c r="BE19" i="38" s="1"/>
  <c r="BE37" i="40" s="1"/>
  <c r="BE10" i="37"/>
  <c r="BE10" i="36"/>
  <c r="BE10" i="35"/>
  <c r="F11" i="40"/>
  <c r="F4" i="39"/>
  <c r="F10" i="38"/>
  <c r="F17" i="38" s="1"/>
  <c r="F19" i="38" s="1"/>
  <c r="F37" i="40" s="1"/>
  <c r="F10" i="37"/>
  <c r="F10" i="36"/>
  <c r="F10" i="35"/>
  <c r="H11" i="40"/>
  <c r="H4" i="39"/>
  <c r="H10" i="38"/>
  <c r="H17" i="38" s="1"/>
  <c r="H19" i="38" s="1"/>
  <c r="H37" i="40" s="1"/>
  <c r="H10" i="37"/>
  <c r="H10" i="36"/>
  <c r="H10" i="35"/>
  <c r="J10" i="37"/>
  <c r="J10" i="36"/>
  <c r="J11" i="40"/>
  <c r="J4" i="39"/>
  <c r="J10" i="38"/>
  <c r="J17" i="38" s="1"/>
  <c r="J19" i="38" s="1"/>
  <c r="J37" i="40" s="1"/>
  <c r="J10" i="35"/>
  <c r="L11" i="40"/>
  <c r="L4" i="39"/>
  <c r="L10" i="38"/>
  <c r="L17" i="38" s="1"/>
  <c r="L19" i="38" s="1"/>
  <c r="L37" i="40" s="1"/>
  <c r="L10" i="37"/>
  <c r="L10" i="36"/>
  <c r="L10" i="35"/>
  <c r="N11" i="40"/>
  <c r="N4" i="39"/>
  <c r="N10" i="38"/>
  <c r="N17" i="38" s="1"/>
  <c r="N19" i="38" s="1"/>
  <c r="N37" i="40" s="1"/>
  <c r="N10" i="37"/>
  <c r="N10" i="36"/>
  <c r="N10" i="35"/>
  <c r="P11" i="40"/>
  <c r="P4" i="39"/>
  <c r="P10" i="38"/>
  <c r="P17" i="38" s="1"/>
  <c r="P19" i="38" s="1"/>
  <c r="P37" i="40" s="1"/>
  <c r="P10" i="37"/>
  <c r="P10" i="36"/>
  <c r="P10" i="35"/>
  <c r="R10" i="37"/>
  <c r="R10" i="36"/>
  <c r="R11" i="40"/>
  <c r="R4" i="39"/>
  <c r="R10" i="38"/>
  <c r="R17" i="38" s="1"/>
  <c r="R19" i="38" s="1"/>
  <c r="R37" i="40" s="1"/>
  <c r="R10" i="35"/>
  <c r="T11" i="40"/>
  <c r="T4" i="39"/>
  <c r="T10" i="38"/>
  <c r="T17" i="38" s="1"/>
  <c r="T19" i="38" s="1"/>
  <c r="T37" i="40" s="1"/>
  <c r="T10" i="37"/>
  <c r="T10" i="36"/>
  <c r="T10" i="35"/>
  <c r="V11" i="40"/>
  <c r="V4" i="39"/>
  <c r="V10" i="38"/>
  <c r="V17" i="38" s="1"/>
  <c r="V19" i="38" s="1"/>
  <c r="V37" i="40" s="1"/>
  <c r="V10" i="37"/>
  <c r="V10" i="36"/>
  <c r="V10" i="35"/>
  <c r="X11" i="40"/>
  <c r="X4" i="39"/>
  <c r="X10" i="38"/>
  <c r="X17" i="38" s="1"/>
  <c r="X10" i="37"/>
  <c r="X10" i="36"/>
  <c r="X10" i="35"/>
  <c r="Z10" i="37"/>
  <c r="Z10" i="36"/>
  <c r="Z11" i="40"/>
  <c r="Z4" i="39"/>
  <c r="Z10" i="38"/>
  <c r="Z17" i="38" s="1"/>
  <c r="Z19" i="38" s="1"/>
  <c r="Z37" i="40" s="1"/>
  <c r="Z10" i="35"/>
  <c r="AB11" i="40"/>
  <c r="AB4" i="39"/>
  <c r="AB10" i="38"/>
  <c r="AB17" i="38" s="1"/>
  <c r="AB19" i="38" s="1"/>
  <c r="AB37" i="40" s="1"/>
  <c r="AB10" i="37"/>
  <c r="AB10" i="36"/>
  <c r="AB10" i="35"/>
  <c r="AD11" i="40"/>
  <c r="AD4" i="39"/>
  <c r="AD10" i="38"/>
  <c r="AD17" i="38" s="1"/>
  <c r="AD19" i="38" s="1"/>
  <c r="AD37" i="40" s="1"/>
  <c r="AD10" i="37"/>
  <c r="AD10" i="36"/>
  <c r="AD10" i="35"/>
  <c r="AF11" i="40"/>
  <c r="AF4" i="39"/>
  <c r="AF10" i="38"/>
  <c r="AF17" i="38" s="1"/>
  <c r="AF19" i="38" s="1"/>
  <c r="AF37" i="40" s="1"/>
  <c r="AF10" i="37"/>
  <c r="AF10" i="36"/>
  <c r="AF10" i="35"/>
  <c r="AH10" i="37"/>
  <c r="AH10" i="36"/>
  <c r="AH11" i="40"/>
  <c r="AH4" i="39"/>
  <c r="AH10" i="38"/>
  <c r="AH17" i="38" s="1"/>
  <c r="AH19" i="38" s="1"/>
  <c r="AH37" i="40" s="1"/>
  <c r="AH10" i="35"/>
  <c r="AJ11" i="40"/>
  <c r="AJ4" i="39"/>
  <c r="AJ10" i="38"/>
  <c r="AJ17" i="38" s="1"/>
  <c r="AJ19" i="38" s="1"/>
  <c r="AJ37" i="40" s="1"/>
  <c r="AJ10" i="37"/>
  <c r="AJ10" i="36"/>
  <c r="AJ10" i="35"/>
  <c r="AL11" i="40"/>
  <c r="AL4" i="39"/>
  <c r="AL10" i="38"/>
  <c r="AL17" i="38" s="1"/>
  <c r="AL19" i="38" s="1"/>
  <c r="AL37" i="40" s="1"/>
  <c r="AL10" i="37"/>
  <c r="AL10" i="36"/>
  <c r="AL10" i="35"/>
  <c r="AN11" i="40"/>
  <c r="AN4" i="39"/>
  <c r="AN10" i="38"/>
  <c r="AN17" i="38" s="1"/>
  <c r="AN19" i="38" s="1"/>
  <c r="AN37" i="40" s="1"/>
  <c r="AN10" i="37"/>
  <c r="AN10" i="36"/>
  <c r="AN10" i="35"/>
  <c r="AP10" i="37"/>
  <c r="AP11" i="40"/>
  <c r="AP4" i="39"/>
  <c r="AP10" i="38"/>
  <c r="AP17" i="38" s="1"/>
  <c r="AP19" i="38" s="1"/>
  <c r="AP37" i="40" s="1"/>
  <c r="AP10" i="36"/>
  <c r="AP10" i="35"/>
  <c r="AR11" i="40"/>
  <c r="AR4" i="39"/>
  <c r="AR10" i="38"/>
  <c r="AR17" i="38" s="1"/>
  <c r="AR19" i="38" s="1"/>
  <c r="AR37" i="40" s="1"/>
  <c r="AR10" i="37"/>
  <c r="AR10" i="36"/>
  <c r="AR10" i="35"/>
  <c r="AT11" i="40"/>
  <c r="AT4" i="39"/>
  <c r="AT10" i="38"/>
  <c r="AT17" i="38" s="1"/>
  <c r="AT19" i="38" s="1"/>
  <c r="AT37" i="40" s="1"/>
  <c r="AT10" i="37"/>
  <c r="AT10" i="36"/>
  <c r="AT10" i="35"/>
  <c r="AV11" i="40"/>
  <c r="AV4" i="39"/>
  <c r="AV10" i="38"/>
  <c r="AV17" i="38" s="1"/>
  <c r="AV19" i="38" s="1"/>
  <c r="AV37" i="40" s="1"/>
  <c r="AV10" i="37"/>
  <c r="AV10" i="36"/>
  <c r="AV10" i="35"/>
  <c r="AX10" i="37"/>
  <c r="AX11" i="40"/>
  <c r="AX4" i="39"/>
  <c r="AX10" i="38"/>
  <c r="AX17" i="38" s="1"/>
  <c r="AX19" i="38" s="1"/>
  <c r="AX37" i="40" s="1"/>
  <c r="AX10" i="36"/>
  <c r="AX10" i="35"/>
  <c r="AZ11" i="40"/>
  <c r="AZ4" i="39"/>
  <c r="AZ10" i="38"/>
  <c r="AZ17" i="38" s="1"/>
  <c r="AZ19" i="38" s="1"/>
  <c r="AZ37" i="40" s="1"/>
  <c r="AZ10" i="37"/>
  <c r="AZ10" i="36"/>
  <c r="AZ10" i="35"/>
  <c r="BB11" i="40"/>
  <c r="BB4" i="39"/>
  <c r="BB10" i="38"/>
  <c r="BB17" i="38" s="1"/>
  <c r="BB19" i="38" s="1"/>
  <c r="BB37" i="40" s="1"/>
  <c r="BB10" i="37"/>
  <c r="BB10" i="36"/>
  <c r="BB10" i="35"/>
  <c r="BD11" i="40"/>
  <c r="BD4"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4" i="39"/>
  <c r="BG10" i="38"/>
  <c r="BG10" i="37"/>
  <c r="BG10" i="36"/>
  <c r="BG10" i="35"/>
  <c r="BF10" i="37"/>
  <c r="BF4" i="39"/>
  <c r="BF10" i="38"/>
  <c r="BF10" i="36"/>
  <c r="BF10" i="35"/>
  <c r="BH11" i="40"/>
  <c r="BH4"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<sst xmlns="http://schemas.openxmlformats.org/spreadsheetml/2006/main" count="5513" uniqueCount="863">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</sst>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4"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
      <sz val="11"/>
      <color theme="1"/>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5" fillId="0" borderId="0" applyNumberFormat="0" applyFill="0" applyBorder="0" applyAlignment="0" applyProtection="0"/>
    <xf numFmtId="9" fontId="33" fillId="0" borderId="0" applyFont="0" applyFill="0" applyBorder="0" applyAlignment="0" applyProtection="0"/>
  </cellStyleXfs>
  <cellXfs count="236">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9" fontId="0" fillId="0" borderId="0" xfId="2" applyNumberFormat="1"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cap="all" spc="100" normalizeH="0" baseline="0">
                <a:solidFill>
                  <a:schemeClr val="lt1"/>
                </a:solidFill>
                <a:latin typeface="+mn-lt"/>
                <a:ea typeface="+mn-ea"/>
                <a:cs typeface="+mn-cs"/>
              </a:defRPr>
            </a:pPr>
            <a:r>
              <a:rPr lang="en-US" sz="3200"/>
              <a:t>Endettement brut, en francs par habitant (31.12.2021)</a:t>
            </a:r>
          </a:p>
        </c:rich>
      </c:tx>
      <c:layout/>
      <c:overlay val="0"/>
      <c:spPr>
        <a:noFill/>
        <a:ln>
          <a:noFill/>
        </a:ln>
        <a:effectLst/>
      </c:spPr>
      <c:txPr>
        <a:bodyPr rot="0" spcFirstLastPara="1" vertOverflow="ellipsis" vert="horz" wrap="square" anchor="ctr" anchorCtr="1"/>
        <a:lstStyle/>
        <a:p>
          <a:pPr>
            <a:defRPr sz="3200" b="1" i="0" u="none" strike="noStrike" kern="1200" cap="all" spc="100" normalizeH="0" baseline="0">
              <a:solidFill>
                <a:schemeClr val="lt1"/>
              </a:solidFill>
              <a:latin typeface="+mn-lt"/>
              <a:ea typeface="+mn-ea"/>
              <a:cs typeface="+mn-cs"/>
            </a:defRPr>
          </a:pPr>
          <a:endParaRPr lang="fr-FR"/>
        </a:p>
      </c:txPr>
    </c:title>
    <c:autoTitleDeleted val="0"/>
    <c:plotArea>
      <c:layout/>
      <c:barChart>
        <c:barDir val="col"/>
        <c:grouping val="clustered"/>
        <c:varyColors val="0"/>
        <c:ser>
          <c:idx val="0"/>
          <c:order val="0"/>
          <c:tx>
            <c:strRef>
              <c:f>'5.4.1b Graphique endettement'!$C$2</c:f>
              <c:strCache>
                <c:ptCount val="1"/>
                <c:pt idx="0">
                  <c:v>Brut par habitant</c:v>
                </c:pt>
              </c:strCache>
            </c:strRef>
          </c:tx>
          <c:spPr>
            <a:solidFill>
              <a:schemeClr val="accent1">
                <a:lumMod val="40000"/>
                <a:lumOff val="60000"/>
              </a:schemeClr>
            </a:solidFill>
            <a:ln w="0">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accent1">
                          <a:lumMod val="60000"/>
                          <a:lumOff val="40000"/>
                        </a:schemeClr>
                      </a:solidFill>
                    </a:ln>
                    <a:effectLst/>
                  </c:spPr>
                </c15:leaderLines>
              </c:ext>
            </c:extLst>
          </c:dLbls>
          <c:cat>
            <c:strRef>
              <c:f>'5.4.1b Graphique endettement'!$A$3:$A$55</c:f>
              <c:strCache>
                <c:ptCount val="53"/>
                <c:pt idx="0">
                  <c:v>Alle</c:v>
                </c:pt>
                <c:pt idx="1">
                  <c:v>Basse-Allaine</c:v>
                </c:pt>
                <c:pt idx="2">
                  <c:v>Beurnevésin</c:v>
                </c:pt>
                <c:pt idx="3">
                  <c:v>Boécourt</c:v>
                </c:pt>
                <c:pt idx="4">
                  <c:v>Boncourt</c:v>
                </c:pt>
                <c:pt idx="5">
                  <c:v>Bonfol</c:v>
                </c:pt>
                <c:pt idx="6">
                  <c:v>Bourrignon</c:v>
                </c:pt>
                <c:pt idx="7">
                  <c:v>Bure</c:v>
                </c:pt>
                <c:pt idx="8">
                  <c:v>Châtillon</c:v>
                </c:pt>
                <c:pt idx="9">
                  <c:v>Clos du Doubs</c:v>
                </c:pt>
                <c:pt idx="10">
                  <c:v>Coeuve</c:v>
                </c:pt>
                <c:pt idx="11">
                  <c:v>Cornol</c:v>
                </c:pt>
                <c:pt idx="12">
                  <c:v>Courchapoix</c:v>
                </c:pt>
                <c:pt idx="13">
                  <c:v>Courchavon</c:v>
                </c:pt>
                <c:pt idx="14">
                  <c:v>Courgenay</c:v>
                </c:pt>
                <c:pt idx="15">
                  <c:v>Courrendlin</c:v>
                </c:pt>
                <c:pt idx="16">
                  <c:v>Courroux</c:v>
                </c:pt>
                <c:pt idx="17">
                  <c:v>Courtedoux</c:v>
                </c:pt>
                <c:pt idx="18">
                  <c:v>Courtételle</c:v>
                </c:pt>
                <c:pt idx="19">
                  <c:v>Damphreux</c:v>
                </c:pt>
                <c:pt idx="20">
                  <c:v>Delémont</c:v>
                </c:pt>
                <c:pt idx="21">
                  <c:v>Develier</c:v>
                </c:pt>
                <c:pt idx="22">
                  <c:v>Ederswiler</c:v>
                </c:pt>
                <c:pt idx="23">
                  <c:v>Fahy</c:v>
                </c:pt>
                <c:pt idx="24">
                  <c:v>Fontenais</c:v>
                </c:pt>
                <c:pt idx="25">
                  <c:v>Grandfontaine</c:v>
                </c:pt>
                <c:pt idx="26">
                  <c:v>Haute-Ajoie</c:v>
                </c:pt>
                <c:pt idx="27">
                  <c:v>Haute-Sorne</c:v>
                </c:pt>
                <c:pt idx="28">
                  <c:v>La Baroche</c:v>
                </c:pt>
                <c:pt idx="29">
                  <c:v>La Chaux-B.</c:v>
                </c:pt>
                <c:pt idx="30">
                  <c:v>Lajoux</c:v>
                </c:pt>
                <c:pt idx="31">
                  <c:v>Le Bémont</c:v>
                </c:pt>
                <c:pt idx="32">
                  <c:v>Le Noirmont</c:v>
                </c:pt>
                <c:pt idx="33">
                  <c:v>Les Bois</c:v>
                </c:pt>
                <c:pt idx="34">
                  <c:v>Les Breuleux</c:v>
                </c:pt>
                <c:pt idx="35">
                  <c:v>Les Enfers</c:v>
                </c:pt>
                <c:pt idx="36">
                  <c:v>Les Genevez</c:v>
                </c:pt>
                <c:pt idx="37">
                  <c:v>Lugnez</c:v>
                </c:pt>
                <c:pt idx="38">
                  <c:v>Mervelier</c:v>
                </c:pt>
                <c:pt idx="39">
                  <c:v>Mettembert</c:v>
                </c:pt>
                <c:pt idx="40">
                  <c:v>Montfaucon</c:v>
                </c:pt>
                <c:pt idx="41">
                  <c:v>Movelier</c:v>
                </c:pt>
                <c:pt idx="42">
                  <c:v>Muriaux</c:v>
                </c:pt>
                <c:pt idx="43">
                  <c:v>Pleigne</c:v>
                </c:pt>
                <c:pt idx="44">
                  <c:v>Porrentruy</c:v>
                </c:pt>
                <c:pt idx="45">
                  <c:v>Rossemaison</c:v>
                </c:pt>
                <c:pt idx="46">
                  <c:v>Saignelégier</c:v>
                </c:pt>
                <c:pt idx="47">
                  <c:v>Saint-Brais</c:v>
                </c:pt>
                <c:pt idx="48">
                  <c:v>Saulcy</c:v>
                </c:pt>
                <c:pt idx="49">
                  <c:v>Soubey</c:v>
                </c:pt>
                <c:pt idx="50">
                  <c:v>Soyhières</c:v>
                </c:pt>
                <c:pt idx="51">
                  <c:v>Val Terbi</c:v>
                </c:pt>
                <c:pt idx="52">
                  <c:v>Vendlincourt</c:v>
                </c:pt>
              </c:strCache>
            </c:strRef>
          </c:cat>
          <c:val>
            <c:numRef>
              <c:f>'5.4.1b Graphique endettement'!$C$3:$C$55</c:f>
              <c:numCache>
                <c:formatCode>#,##0.00</c:formatCode>
                <c:ptCount val="53"/>
                <c:pt idx="0">
                  <c:v>9521.2628767847709</c:v>
                </c:pt>
                <c:pt idx="1">
                  <c:v>9216.5159102040816</c:v>
                </c:pt>
                <c:pt idx="2">
                  <c:v>13759.278547008547</c:v>
                </c:pt>
                <c:pt idx="3">
                  <c:v>10931.844097148891</c:v>
                </c:pt>
                <c:pt idx="4">
                  <c:v>7989.1711898734175</c:v>
                </c:pt>
                <c:pt idx="5">
                  <c:v>7882.9902180685358</c:v>
                </c:pt>
                <c:pt idx="6">
                  <c:v>9337.0366037735857</c:v>
                </c:pt>
                <c:pt idx="7">
                  <c:v>6452.08</c:v>
                </c:pt>
                <c:pt idx="8">
                  <c:v>11775.710874200427</c:v>
                </c:pt>
                <c:pt idx="9">
                  <c:v>8768.3360981308415</c:v>
                </c:pt>
                <c:pt idx="10">
                  <c:v>7765.055335157318</c:v>
                </c:pt>
                <c:pt idx="11">
                  <c:v>8791.2132480314958</c:v>
                </c:pt>
                <c:pt idx="12">
                  <c:v>10096.368701594532</c:v>
                </c:pt>
                <c:pt idx="13">
                  <c:v>6143.9939144736836</c:v>
                </c:pt>
                <c:pt idx="14">
                  <c:v>5430.631388888889</c:v>
                </c:pt>
                <c:pt idx="15">
                  <c:v>6468.2476850858375</c:v>
                </c:pt>
                <c:pt idx="16">
                  <c:v>7054.2133034379667</c:v>
                </c:pt>
                <c:pt idx="17">
                  <c:v>8146.3698095238105</c:v>
                </c:pt>
                <c:pt idx="18">
                  <c:v>3972.2858144796382</c:v>
                </c:pt>
                <c:pt idx="19">
                  <c:v>3809.9758378378378</c:v>
                </c:pt>
                <c:pt idx="20">
                  <c:v>11408.696573443387</c:v>
                </c:pt>
                <c:pt idx="21">
                  <c:v>4941.658219278881</c:v>
                </c:pt>
                <c:pt idx="22">
                  <c:v>7337.0810256410259</c:v>
                </c:pt>
                <c:pt idx="23">
                  <c:v>5890.876617647059</c:v>
                </c:pt>
                <c:pt idx="24">
                  <c:v>11661.222380671774</c:v>
                </c:pt>
                <c:pt idx="25">
                  <c:v>5308.4209487179487</c:v>
                </c:pt>
                <c:pt idx="26">
                  <c:v>9653.8326467847146</c:v>
                </c:pt>
                <c:pt idx="27">
                  <c:v>6079.31046550062</c:v>
                </c:pt>
                <c:pt idx="28">
                  <c:v>8490.6535435168753</c:v>
                </c:pt>
                <c:pt idx="29">
                  <c:v>8699.1604166666675</c:v>
                </c:pt>
                <c:pt idx="30">
                  <c:v>10216.269843081311</c:v>
                </c:pt>
                <c:pt idx="31">
                  <c:v>1943.0361290322578</c:v>
                </c:pt>
                <c:pt idx="32">
                  <c:v>3354.7941644840234</c:v>
                </c:pt>
                <c:pt idx="33">
                  <c:v>8419.3571968503948</c:v>
                </c:pt>
                <c:pt idx="34">
                  <c:v>5630.3246015936256</c:v>
                </c:pt>
                <c:pt idx="35">
                  <c:v>8232.6388513513521</c:v>
                </c:pt>
                <c:pt idx="36">
                  <c:v>8294.8560424710413</c:v>
                </c:pt>
                <c:pt idx="37">
                  <c:v>1195.0679347826087</c:v>
                </c:pt>
                <c:pt idx="38">
                  <c:v>5750.5339033457258</c:v>
                </c:pt>
                <c:pt idx="39">
                  <c:v>4481.0444144144139</c:v>
                </c:pt>
                <c:pt idx="40">
                  <c:v>6650.0165070921985</c:v>
                </c:pt>
                <c:pt idx="41">
                  <c:v>7324.8976722090256</c:v>
                </c:pt>
                <c:pt idx="42">
                  <c:v>2207.7674857142856</c:v>
                </c:pt>
                <c:pt idx="43">
                  <c:v>11853.385000000002</c:v>
                </c:pt>
                <c:pt idx="44">
                  <c:v>10347.08536343953</c:v>
                </c:pt>
                <c:pt idx="45">
                  <c:v>7178.1171549295768</c:v>
                </c:pt>
                <c:pt idx="46">
                  <c:v>6541.7806124031013</c:v>
                </c:pt>
                <c:pt idx="47">
                  <c:v>7576.7132432432427</c:v>
                </c:pt>
                <c:pt idx="48">
                  <c:v>3484.9860223048327</c:v>
                </c:pt>
                <c:pt idx="49">
                  <c:v>8001.1899224806202</c:v>
                </c:pt>
                <c:pt idx="50">
                  <c:v>8620.2964090909081</c:v>
                </c:pt>
                <c:pt idx="51">
                  <c:v>5093.818386497368</c:v>
                </c:pt>
                <c:pt idx="52">
                  <c:v>7229.0261896243283</c:v>
                </c:pt>
              </c:numCache>
            </c:numRef>
          </c:val>
          <c:extLst>
            <c:ext xmlns:c16="http://schemas.microsoft.com/office/drawing/2014/chart" uri="{C3380CC4-5D6E-409C-BE32-E72D297353CC}">
              <c16:uniqueId val="{00000000-5D1F-4779-8E6A-F2911839D82C}"/>
            </c:ext>
          </c:extLst>
        </c:ser>
        <c:dLbls>
          <c:showLegendKey val="0"/>
          <c:showVal val="1"/>
          <c:showCatName val="0"/>
          <c:showSerName val="0"/>
          <c:showPercent val="0"/>
          <c:showBubbleSize val="0"/>
        </c:dLbls>
        <c:gapWidth val="74"/>
        <c:overlap val="-20"/>
        <c:axId val="833171952"/>
        <c:axId val="833178512"/>
      </c:barChart>
      <c:catAx>
        <c:axId val="833171952"/>
        <c:scaling>
          <c:orientation val="minMax"/>
        </c:scaling>
        <c:delete val="0"/>
        <c:axPos val="b"/>
        <c:numFmt formatCode="General" sourceLinked="1"/>
        <c:majorTickMark val="none"/>
        <c:minorTickMark val="none"/>
        <c:tickLblPos val="nextTo"/>
        <c:spPr>
          <a:noFill/>
          <a:ln w="3175" cap="flat" cmpd="sng" algn="ctr">
            <a:solidFill>
              <a:schemeClr val="accent1">
                <a:lumMod val="60000"/>
                <a:lumOff val="40000"/>
              </a:schemeClr>
            </a:solidFill>
            <a:round/>
          </a:ln>
          <a:effectLst/>
        </c:spPr>
        <c:txPr>
          <a:bodyPr rot="-5400000" spcFirstLastPara="1" vertOverflow="ellipsis" wrap="square" anchor="ctr" anchorCtr="1"/>
          <a:lstStyle/>
          <a:p>
            <a:pPr>
              <a:defRPr sz="1400" b="0" i="0" u="none" strike="noStrike" kern="1200" cap="all" spc="150" normalizeH="0" baseline="0">
                <a:solidFill>
                  <a:schemeClr val="lt1"/>
                </a:solidFill>
                <a:latin typeface="+mn-lt"/>
                <a:ea typeface="+mn-ea"/>
                <a:cs typeface="+mn-cs"/>
              </a:defRPr>
            </a:pPr>
            <a:endParaRPr lang="fr-FR"/>
          </a:p>
        </c:txPr>
        <c:crossAx val="833178512"/>
        <c:crosses val="autoZero"/>
        <c:auto val="1"/>
        <c:lblAlgn val="ctr"/>
        <c:lblOffset val="100"/>
        <c:noMultiLvlLbl val="0"/>
      </c:catAx>
      <c:valAx>
        <c:axId val="833178512"/>
        <c:scaling>
          <c:orientation val="minMax"/>
        </c:scaling>
        <c:delete val="1"/>
        <c:axPos val="l"/>
        <c:numFmt formatCode="#,##0.00" sourceLinked="1"/>
        <c:majorTickMark val="none"/>
        <c:minorTickMark val="none"/>
        <c:tickLblPos val="nextTo"/>
        <c:crossAx val="83317195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fr-CH" b="1"/>
              <a:t>Charges</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a:noFill/>
              </a:ln>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a:noFill/>
              </a:ln>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1-4473-4627-B6BF-1A2FAE0B92B4}"/>
              </c:ext>
            </c:extLst>
          </c:dPt>
          <c:dLbls>
            <c:dLbl>
              <c:idx val="4"/>
              <c:layout/>
              <c:tx>
                <c:rich>
                  <a:bodyPr/>
                  <a:lstStyle/>
                  <a:p>
                    <a:fld id="{35B3476E-B2A7-4833-870B-1FA06622240D}" type="VALUE">
                      <a:rPr lang="en-US"/>
                      <a:pPr/>
                      <a:t>[VALEUR]</a:t>
                    </a:fld>
                    <a:r>
                      <a:rPr lang="en-US" baseline="0"/>
                      <a:t>; </a:t>
                    </a:r>
                  </a:p>
                  <a:p>
                    <a:fld id="{401500FB-9146-49F7-A39D-6127F7F6B866}" type="PERCENTAGE">
                      <a:rPr lang="en-US" baseline="0"/>
                      <a:pPr/>
                      <a:t>[POURCENTAGE]</a:t>
                    </a:fld>
                    <a:endParaRPr lang="fr-CH"/>
                  </a:p>
                </c:rich>
              </c:tx>
              <c:dLblPos val="bestFit"/>
              <c:showLegendKey val="0"/>
              <c:showVal val="1"/>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4473-4627-B6BF-1A2FAE0B92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fr-FR"/>
              </a:p>
            </c:txPr>
            <c:dLblPos val="bestFit"/>
            <c:showLegendKey val="0"/>
            <c:showVal val="1"/>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in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3566837572871502"/>
          <c:y val="0.13543255748288188"/>
          <c:w val="0.25434410997485291"/>
          <c:h val="0.81418785976936259"/>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a:noFill/>
              </a:ln>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a:noFill/>
              </a:ln>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1-4473-4627-B6BF-1A2FAE0B92B4}"/>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3-863B-43E3-85F7-45FEDD9E8574}"/>
              </c:ext>
            </c:extLst>
          </c:dPt>
          <c:dLbls>
            <c:dLbl>
              <c:idx val="3"/>
              <c:layout>
                <c:manualLayout>
                  <c:x val="9.9875156054931337E-3"/>
                  <c:y val="2.8031496062992125E-2"/>
                </c:manualLayout>
              </c:layout>
              <c:dLblPos val="bestFit"/>
              <c:showLegendKey val="0"/>
              <c:showVal val="1"/>
              <c:showCatName val="0"/>
              <c:showSerName val="0"/>
              <c:showPercent val="1"/>
              <c:showBubbleSize val="0"/>
              <c:extLst>
                <c:ext xmlns:c15="http://schemas.microsoft.com/office/drawing/2012/chart" uri="{CE6537A1-D6FC-4f65-9D91-7224C49458BB}">
                  <c15:layout>
                    <c:manualLayout>
                      <c:w val="0.11735330836454431"/>
                      <c:h val="7.6744186046511634E-2"/>
                    </c:manualLayout>
                  </c15:layout>
                </c:ext>
                <c:ext xmlns:c16="http://schemas.microsoft.com/office/drawing/2014/chart" uri="{C3380CC4-5D6E-409C-BE32-E72D297353CC}">
                  <c16:uniqueId val="{00000007-4473-4627-B6BF-1A2FAE0B92B4}"/>
                </c:ext>
              </c:extLst>
            </c:dLbl>
            <c:dLbl>
              <c:idx val="4"/>
              <c:layout>
                <c:manualLayout>
                  <c:x val="3.3291718684977114E-3"/>
                  <c:y val="-7.134859305377525E-2"/>
                </c:manualLayout>
              </c:layout>
              <c:tx>
                <c:rich>
                  <a:bodyPr/>
                  <a:lstStyle/>
                  <a:p>
                    <a:r>
                      <a:rPr lang="en-US"/>
                      <a:t>14'543'222.97;</a:t>
                    </a:r>
                  </a:p>
                  <a:p>
                    <a:r>
                      <a:rPr lang="en-US"/>
                      <a:t>4% </a:t>
                    </a:r>
                  </a:p>
                </c:rich>
              </c:tx>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473-4627-B6BF-1A2FAE0B92B4}"/>
                </c:ext>
              </c:extLst>
            </c:dLbl>
            <c:dLbl>
              <c:idx val="5"/>
              <c:layout>
                <c:manualLayout>
                  <c:x val="5.6908064394572404E-2"/>
                  <c:y val="-0.1147618873222242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4473-4627-B6BF-1A2FAE0B92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fr-FR"/>
              </a:p>
            </c:txPr>
            <c:dLblPos val="bestFit"/>
            <c:showLegendKey val="0"/>
            <c:showVal val="1"/>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3BB9-40B9-B8A7-CD1A90FF119C}"/>
            </c:ext>
          </c:extLst>
        </c:ser>
        <c:dLbls>
          <c:dLblPos val="in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3566837572871502"/>
          <c:y val="0.13543255748288188"/>
          <c:w val="0.25434410997485291"/>
          <c:h val="0.81418785976936259"/>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CH"/>
              <a:t>Endettement brut, en francs par habitant</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'5.4.1b Graphique endettement'!$A$3:$A$55</c:f>
              <c:strCache>
                <c:ptCount val="53"/>
                <c:pt idx="0">
                  <c:v>Alle</c:v>
                </c:pt>
                <c:pt idx="1">
                  <c:v>Basse-Allaine</c:v>
                </c:pt>
                <c:pt idx="2">
                  <c:v>Beurnevésin</c:v>
                </c:pt>
                <c:pt idx="3">
                  <c:v>Boécourt</c:v>
                </c:pt>
                <c:pt idx="4">
                  <c:v>Boncourt</c:v>
                </c:pt>
                <c:pt idx="5">
                  <c:v>Bonfol</c:v>
                </c:pt>
                <c:pt idx="6">
                  <c:v>Bourrignon</c:v>
                </c:pt>
                <c:pt idx="7">
                  <c:v>Bure</c:v>
                </c:pt>
                <c:pt idx="8">
                  <c:v>Châtillon</c:v>
                </c:pt>
                <c:pt idx="9">
                  <c:v>Clos du Doubs</c:v>
                </c:pt>
                <c:pt idx="10">
                  <c:v>Coeuve</c:v>
                </c:pt>
                <c:pt idx="11">
                  <c:v>Cornol</c:v>
                </c:pt>
                <c:pt idx="12">
                  <c:v>Courchapoix</c:v>
                </c:pt>
                <c:pt idx="13">
                  <c:v>Courchavon</c:v>
                </c:pt>
                <c:pt idx="14">
                  <c:v>Courgenay</c:v>
                </c:pt>
                <c:pt idx="15">
                  <c:v>Courrendlin</c:v>
                </c:pt>
                <c:pt idx="16">
                  <c:v>Courroux</c:v>
                </c:pt>
                <c:pt idx="17">
                  <c:v>Courtedoux</c:v>
                </c:pt>
                <c:pt idx="18">
                  <c:v>Courtételle</c:v>
                </c:pt>
                <c:pt idx="19">
                  <c:v>Damphreux</c:v>
                </c:pt>
                <c:pt idx="20">
                  <c:v>Delémont</c:v>
                </c:pt>
                <c:pt idx="21">
                  <c:v>Develier</c:v>
                </c:pt>
                <c:pt idx="22">
                  <c:v>Ederswiler</c:v>
                </c:pt>
                <c:pt idx="23">
                  <c:v>Fahy</c:v>
                </c:pt>
                <c:pt idx="24">
                  <c:v>Fontenais</c:v>
                </c:pt>
                <c:pt idx="25">
                  <c:v>Grandfontaine</c:v>
                </c:pt>
                <c:pt idx="26">
                  <c:v>Haute-Ajoie</c:v>
                </c:pt>
                <c:pt idx="27">
                  <c:v>Haute-Sorne</c:v>
                </c:pt>
                <c:pt idx="28">
                  <c:v>La Baroche</c:v>
                </c:pt>
                <c:pt idx="29">
                  <c:v>La Chaux-B.</c:v>
                </c:pt>
                <c:pt idx="30">
                  <c:v>Lajoux</c:v>
                </c:pt>
                <c:pt idx="31">
                  <c:v>Le Bémont</c:v>
                </c:pt>
                <c:pt idx="32">
                  <c:v>Le Noirmont</c:v>
                </c:pt>
                <c:pt idx="33">
                  <c:v>Les Bois</c:v>
                </c:pt>
                <c:pt idx="34">
                  <c:v>Les Breuleux</c:v>
                </c:pt>
                <c:pt idx="35">
                  <c:v>Les Enfers</c:v>
                </c:pt>
                <c:pt idx="36">
                  <c:v>Les Genevez</c:v>
                </c:pt>
                <c:pt idx="37">
                  <c:v>Lugnez</c:v>
                </c:pt>
                <c:pt idx="38">
                  <c:v>Mervelier</c:v>
                </c:pt>
                <c:pt idx="39">
                  <c:v>Mettembert</c:v>
                </c:pt>
                <c:pt idx="40">
                  <c:v>Montfaucon</c:v>
                </c:pt>
                <c:pt idx="41">
                  <c:v>Movelier</c:v>
                </c:pt>
                <c:pt idx="42">
                  <c:v>Muriaux</c:v>
                </c:pt>
                <c:pt idx="43">
                  <c:v>Pleigne</c:v>
                </c:pt>
                <c:pt idx="44">
                  <c:v>Porrentruy</c:v>
                </c:pt>
                <c:pt idx="45">
                  <c:v>Rossemaison</c:v>
                </c:pt>
                <c:pt idx="46">
                  <c:v>Saignelégier</c:v>
                </c:pt>
                <c:pt idx="47">
                  <c:v>Saint-Brais</c:v>
                </c:pt>
                <c:pt idx="48">
                  <c:v>Saulcy</c:v>
                </c:pt>
                <c:pt idx="49">
                  <c:v>Soubey</c:v>
                </c:pt>
                <c:pt idx="50">
                  <c:v>Soyhières</c:v>
                </c:pt>
                <c:pt idx="51">
                  <c:v>Val Terbi</c:v>
                </c:pt>
                <c:pt idx="52">
                  <c:v>Vendlincourt</c:v>
                </c:pt>
              </c:strCache>
            </c:strRef>
          </c:cat>
          <c:val>
            <c:numRef>
              <c:f>'5.4.1b Graphique endettement'!$C$3:$C$55</c:f>
              <c:numCache>
                <c:formatCode>#,##0.00</c:formatCode>
                <c:ptCount val="53"/>
                <c:pt idx="0">
                  <c:v>9521.2628767847709</c:v>
                </c:pt>
                <c:pt idx="1">
                  <c:v>9216.5159102040816</c:v>
                </c:pt>
                <c:pt idx="2">
                  <c:v>13759.278547008547</c:v>
                </c:pt>
                <c:pt idx="3">
                  <c:v>10931.844097148891</c:v>
                </c:pt>
                <c:pt idx="4">
                  <c:v>7989.1711898734175</c:v>
                </c:pt>
                <c:pt idx="5">
                  <c:v>7882.9902180685358</c:v>
                </c:pt>
                <c:pt idx="6">
                  <c:v>9337.0366037735857</c:v>
                </c:pt>
                <c:pt idx="7">
                  <c:v>6452.08</c:v>
                </c:pt>
                <c:pt idx="8">
                  <c:v>11775.710874200427</c:v>
                </c:pt>
                <c:pt idx="9">
                  <c:v>8768.3360981308415</c:v>
                </c:pt>
                <c:pt idx="10">
                  <c:v>7765.055335157318</c:v>
                </c:pt>
                <c:pt idx="11">
                  <c:v>8791.2132480314958</c:v>
                </c:pt>
                <c:pt idx="12">
                  <c:v>10096.368701594532</c:v>
                </c:pt>
                <c:pt idx="13">
                  <c:v>6143.9939144736836</c:v>
                </c:pt>
                <c:pt idx="14">
                  <c:v>5430.631388888889</c:v>
                </c:pt>
                <c:pt idx="15">
                  <c:v>6468.2476850858375</c:v>
                </c:pt>
                <c:pt idx="16">
                  <c:v>7054.2133034379667</c:v>
                </c:pt>
                <c:pt idx="17">
                  <c:v>8146.3698095238105</c:v>
                </c:pt>
                <c:pt idx="18">
                  <c:v>3972.2858144796382</c:v>
                </c:pt>
                <c:pt idx="19">
                  <c:v>3809.9758378378378</c:v>
                </c:pt>
                <c:pt idx="20">
                  <c:v>11408.696573443387</c:v>
                </c:pt>
                <c:pt idx="21">
                  <c:v>4941.658219278881</c:v>
                </c:pt>
                <c:pt idx="22">
                  <c:v>7337.0810256410259</c:v>
                </c:pt>
                <c:pt idx="23">
                  <c:v>5890.876617647059</c:v>
                </c:pt>
                <c:pt idx="24">
                  <c:v>11661.222380671774</c:v>
                </c:pt>
                <c:pt idx="25">
                  <c:v>5308.4209487179487</c:v>
                </c:pt>
                <c:pt idx="26">
                  <c:v>9653.8326467847146</c:v>
                </c:pt>
                <c:pt idx="27">
                  <c:v>6079.31046550062</c:v>
                </c:pt>
                <c:pt idx="28">
                  <c:v>8490.6535435168753</c:v>
                </c:pt>
                <c:pt idx="29">
                  <c:v>8699.1604166666675</c:v>
                </c:pt>
                <c:pt idx="30">
                  <c:v>10216.269843081311</c:v>
                </c:pt>
                <c:pt idx="31">
                  <c:v>1943.0361290322578</c:v>
                </c:pt>
                <c:pt idx="32">
                  <c:v>3354.7941644840234</c:v>
                </c:pt>
                <c:pt idx="33">
                  <c:v>8419.3571968503948</c:v>
                </c:pt>
                <c:pt idx="34">
                  <c:v>5630.3246015936256</c:v>
                </c:pt>
                <c:pt idx="35">
                  <c:v>8232.6388513513521</c:v>
                </c:pt>
                <c:pt idx="36">
                  <c:v>8294.8560424710413</c:v>
                </c:pt>
                <c:pt idx="37">
                  <c:v>1195.0679347826087</c:v>
                </c:pt>
                <c:pt idx="38">
                  <c:v>5750.5339033457258</c:v>
                </c:pt>
                <c:pt idx="39">
                  <c:v>4481.0444144144139</c:v>
                </c:pt>
                <c:pt idx="40">
                  <c:v>6650.0165070921985</c:v>
                </c:pt>
                <c:pt idx="41">
                  <c:v>7324.8976722090256</c:v>
                </c:pt>
                <c:pt idx="42">
                  <c:v>2207.7674857142856</c:v>
                </c:pt>
                <c:pt idx="43">
                  <c:v>11853.385000000002</c:v>
                </c:pt>
                <c:pt idx="44">
                  <c:v>10347.08536343953</c:v>
                </c:pt>
                <c:pt idx="45">
                  <c:v>7178.1171549295768</c:v>
                </c:pt>
                <c:pt idx="46">
                  <c:v>6541.7806124031013</c:v>
                </c:pt>
                <c:pt idx="47">
                  <c:v>7576.7132432432427</c:v>
                </c:pt>
                <c:pt idx="48">
                  <c:v>3484.9860223048327</c:v>
                </c:pt>
                <c:pt idx="49">
                  <c:v>8001.1899224806202</c:v>
                </c:pt>
                <c:pt idx="50">
                  <c:v>8620.2964090909081</c:v>
                </c:pt>
                <c:pt idx="51">
                  <c:v>5093.818386497368</c:v>
                </c:pt>
                <c:pt idx="52">
                  <c:v>7229.0261896243283</c:v>
                </c:pt>
              </c:numCache>
            </c:numRef>
          </c:val>
          <c:extLst>
            <c:ext xmlns:c16="http://schemas.microsoft.com/office/drawing/2014/chart" uri="{C3380CC4-5D6E-409C-BE32-E72D297353CC}">
              <c16:uniqueId val="{00000000-275B-4956-8B6C-C2412BE090C1}"/>
            </c:ext>
          </c:extLst>
        </c:ser>
        <c:dLbls>
          <c:showLegendKey val="0"/>
          <c:showVal val="1"/>
          <c:showCatName val="0"/>
          <c:showSerName val="0"/>
          <c:showPercent val="0"/>
          <c:showBubbleSize val="0"/>
        </c:dLbls>
        <c:gapWidth val="66"/>
        <c:gapDepth val="0"/>
        <c:shape val="box"/>
        <c:axId val="482476928"/>
        <c:axId val="482472336"/>
        <c:axId val="0"/>
      </c:bar3DChart>
      <c:catAx>
        <c:axId val="482476928"/>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1"/>
        <c:axPos val="t"/>
        <c:numFmt formatCode="#,##0.00" sourceLinked="1"/>
        <c:majorTickMark val="none"/>
        <c:minorTickMark val="none"/>
        <c:tickLblPos val="nextTo"/>
        <c:crossAx val="482476928"/>
        <c:crosses val="autoZero"/>
        <c:crossBetween val="between"/>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4">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266699</xdr:rowOff>
    </xdr:from>
    <xdr:to>
      <xdr:col>13</xdr:col>
      <xdr:colOff>9526</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59529</xdr:colOff>
      <xdr:row>0</xdr:row>
      <xdr:rowOff>57149</xdr:rowOff>
    </xdr:from>
    <xdr:to>
      <xdr:col>45</xdr:col>
      <xdr:colOff>108856</xdr:colOff>
      <xdr:row>48</xdr:row>
      <xdr:rowOff>122464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1" t="s">
        <v>71</v>
      </c>
      <c r="C5" s="222"/>
      <c r="D5" s="223"/>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4"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H44" sqref="H44"/>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8" t="s">
        <v>740</v>
      </c>
      <c r="H2" s="219"/>
      <c r="I2" s="219"/>
      <c r="J2" s="219"/>
      <c r="K2" s="220"/>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BF4" activePane="bottomRight" state="frozen"/>
      <selection pane="topRight" activeCell="E1" sqref="E1"/>
      <selection pane="bottomLeft" activeCell="A4" sqref="A4"/>
      <selection pane="bottomRight" activeCell="BG189" sqref="BG189"/>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c r="BG1" s="4">
        <f>BG4-BG120</f>
        <v>274946.04000008106</v>
      </c>
      <c r="BH1" s="4">
        <f t="shared" ref="BH1:BJ1" si="0">BH4-BH120</f>
        <v>271730.33999997377</v>
      </c>
      <c r="BI1" s="4">
        <f t="shared" si="0"/>
        <v>3215.7000000476837</v>
      </c>
      <c r="BJ1" s="4">
        <f t="shared" si="0"/>
        <v>0</v>
      </c>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1">G6+G14+G24+G30+G40+G47+G53+G61+G68+G79+G85+G96+G107</f>
        <v>2965973.02</v>
      </c>
      <c r="H4" s="87">
        <f t="shared" si="1"/>
        <v>6296669.6499999994</v>
      </c>
      <c r="I4" s="87">
        <f t="shared" si="1"/>
        <v>7297548.3099999996</v>
      </c>
      <c r="J4" s="87">
        <f t="shared" si="1"/>
        <v>35834571.81000001</v>
      </c>
      <c r="K4" s="87">
        <f t="shared" si="1"/>
        <v>32179357.799999997</v>
      </c>
      <c r="L4" s="87">
        <f t="shared" si="1"/>
        <v>21417104.540000003</v>
      </c>
      <c r="M4" s="87">
        <f t="shared" si="1"/>
        <v>177597654.23000002</v>
      </c>
      <c r="N4" s="87">
        <f t="shared" si="1"/>
        <v>10939291.530000001</v>
      </c>
      <c r="O4" s="87">
        <f t="shared" si="1"/>
        <v>1636254.66</v>
      </c>
      <c r="P4" s="87">
        <f t="shared" si="1"/>
        <v>53521100.93</v>
      </c>
      <c r="Q4" s="87">
        <f t="shared" si="1"/>
        <v>5011865.0500000007</v>
      </c>
      <c r="R4" s="87">
        <f t="shared" si="1"/>
        <v>793621.34</v>
      </c>
      <c r="S4" s="87">
        <f t="shared" si="1"/>
        <v>3941697.1199999996</v>
      </c>
      <c r="T4" s="87">
        <f t="shared" si="1"/>
        <v>5415690.75</v>
      </c>
      <c r="U4" s="87">
        <f t="shared" si="1"/>
        <v>8255877.0299999993</v>
      </c>
      <c r="V4" s="87">
        <f t="shared" si="1"/>
        <v>1832318.35</v>
      </c>
      <c r="W4" s="87">
        <f t="shared" si="1"/>
        <v>4866359.71</v>
      </c>
      <c r="X4" s="87">
        <f t="shared" si="1"/>
        <v>22949312.120000001</v>
      </c>
      <c r="Y4" s="87">
        <f t="shared" si="1"/>
        <v>3995294.9499999997</v>
      </c>
      <c r="Z4" s="87">
        <f t="shared" si="1"/>
        <v>14924073.460000003</v>
      </c>
      <c r="AA4" s="87">
        <f t="shared" si="1"/>
        <v>32307335.959999997</v>
      </c>
      <c r="AB4" s="87">
        <f t="shared" si="1"/>
        <v>1628149.1</v>
      </c>
      <c r="AC4" s="87">
        <f t="shared" si="1"/>
        <v>3111796.86</v>
      </c>
      <c r="AD4" s="87">
        <f t="shared" si="1"/>
        <v>6155015.3500000006</v>
      </c>
      <c r="AE4" s="87">
        <f t="shared" si="1"/>
        <v>9012201.0099999998</v>
      </c>
      <c r="AF4" s="87">
        <f t="shared" si="1"/>
        <v>6876138.3399999999</v>
      </c>
      <c r="AG4" s="87">
        <f t="shared" si="1"/>
        <v>9234866.4800000004</v>
      </c>
      <c r="AH4" s="87">
        <f t="shared" si="1"/>
        <v>16349536.65</v>
      </c>
      <c r="AI4" s="87">
        <f t="shared" si="1"/>
        <v>27550063.550000004</v>
      </c>
      <c r="AJ4" s="87">
        <f t="shared" si="1"/>
        <v>3905939.28</v>
      </c>
      <c r="AK4" s="87">
        <f t="shared" si="1"/>
        <v>3222486.6399999997</v>
      </c>
      <c r="AL4" s="87">
        <f t="shared" si="1"/>
        <v>22966348.759999998</v>
      </c>
      <c r="AM4" s="87">
        <f t="shared" si="1"/>
        <v>16102566.52</v>
      </c>
      <c r="AN4" s="87">
        <f t="shared" si="1"/>
        <v>15405801.919999998</v>
      </c>
      <c r="AO4" s="87">
        <f t="shared" si="1"/>
        <v>2974096.86</v>
      </c>
      <c r="AP4" s="87">
        <f t="shared" si="1"/>
        <v>30433304.219999999</v>
      </c>
      <c r="AQ4" s="87">
        <f t="shared" si="1"/>
        <v>7933124.9500000002</v>
      </c>
      <c r="AR4" s="87">
        <f t="shared" si="1"/>
        <v>6768420.1500000004</v>
      </c>
      <c r="AS4" s="87">
        <f t="shared" si="1"/>
        <v>22575658.690000001</v>
      </c>
      <c r="AT4" s="87">
        <f t="shared" si="1"/>
        <v>7925516.6800000006</v>
      </c>
      <c r="AU4" s="87">
        <f t="shared" si="1"/>
        <v>10850287.1</v>
      </c>
      <c r="AV4" s="87">
        <f t="shared" si="1"/>
        <v>5949338.5200000005</v>
      </c>
      <c r="AW4" s="87">
        <f t="shared" si="1"/>
        <v>21309261.509999998</v>
      </c>
      <c r="AX4" s="87">
        <f t="shared" si="1"/>
        <v>8924275.6600000001</v>
      </c>
      <c r="AY4" s="87">
        <f t="shared" si="1"/>
        <v>1559898.92</v>
      </c>
      <c r="AZ4" s="87">
        <f t="shared" si="1"/>
        <v>4115207.58</v>
      </c>
      <c r="BA4" s="87">
        <f t="shared" si="1"/>
        <v>23472611.259999998</v>
      </c>
      <c r="BB4" s="87">
        <f t="shared" si="1"/>
        <v>5399563.7999999998</v>
      </c>
      <c r="BC4" s="87">
        <f t="shared" si="1"/>
        <v>15496471.67</v>
      </c>
      <c r="BD4" s="87">
        <f t="shared" si="1"/>
        <v>1586955.25</v>
      </c>
      <c r="BE4" s="87">
        <f t="shared" si="1"/>
        <v>79883106.599999994</v>
      </c>
      <c r="BF4" s="87">
        <f t="shared" si="1"/>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2">G6+G14+G24+G30+G40+G47+G53+G61</f>
        <v>1141851.18</v>
      </c>
      <c r="H5" s="75">
        <f t="shared" si="2"/>
        <v>3560116.5900000003</v>
      </c>
      <c r="I5" s="75">
        <f t="shared" si="2"/>
        <v>4659729.1099999994</v>
      </c>
      <c r="J5" s="75">
        <f t="shared" si="2"/>
        <v>15358859.32</v>
      </c>
      <c r="K5" s="75">
        <f t="shared" si="2"/>
        <v>8576665.4699999988</v>
      </c>
      <c r="L5" s="75">
        <f t="shared" si="2"/>
        <v>10901550.18</v>
      </c>
      <c r="M5" s="75">
        <f t="shared" si="2"/>
        <v>50722063.130000003</v>
      </c>
      <c r="N5" s="75">
        <f t="shared" si="2"/>
        <v>3552476.3299999996</v>
      </c>
      <c r="O5" s="75">
        <f t="shared" si="2"/>
        <v>387086.74</v>
      </c>
      <c r="P5" s="75">
        <f t="shared" si="2"/>
        <v>18670168.030000001</v>
      </c>
      <c r="Q5" s="75">
        <f t="shared" si="2"/>
        <v>2335602.8600000003</v>
      </c>
      <c r="R5" s="75">
        <f t="shared" si="2"/>
        <v>533749.43999999994</v>
      </c>
      <c r="S5" s="75">
        <f t="shared" si="2"/>
        <v>1346191.77</v>
      </c>
      <c r="T5" s="75">
        <f t="shared" si="2"/>
        <v>2420446.7000000002</v>
      </c>
      <c r="U5" s="75">
        <f t="shared" si="2"/>
        <v>5477916.4499999993</v>
      </c>
      <c r="V5" s="75">
        <f t="shared" si="2"/>
        <v>758188.35000000009</v>
      </c>
      <c r="W5" s="75">
        <f t="shared" si="2"/>
        <v>2180801.88</v>
      </c>
      <c r="X5" s="75">
        <f t="shared" si="2"/>
        <v>6432633.5</v>
      </c>
      <c r="Y5" s="75">
        <f t="shared" si="2"/>
        <v>1924599.9999999998</v>
      </c>
      <c r="Z5" s="75">
        <f t="shared" si="2"/>
        <v>4480522.830000001</v>
      </c>
      <c r="AA5" s="75">
        <f t="shared" si="2"/>
        <v>24040991.959999997</v>
      </c>
      <c r="AB5" s="75">
        <f t="shared" si="2"/>
        <v>767484.10000000009</v>
      </c>
      <c r="AC5" s="75">
        <f t="shared" si="2"/>
        <v>1679089.3099999998</v>
      </c>
      <c r="AD5" s="75">
        <f t="shared" si="2"/>
        <v>3151827.65</v>
      </c>
      <c r="AE5" s="75">
        <f t="shared" si="2"/>
        <v>2703468.09</v>
      </c>
      <c r="AF5" s="75">
        <f t="shared" si="2"/>
        <v>2598603.84</v>
      </c>
      <c r="AG5" s="75">
        <f t="shared" si="2"/>
        <v>4859272.7300000004</v>
      </c>
      <c r="AH5" s="75">
        <f t="shared" si="2"/>
        <v>8453727.2600000016</v>
      </c>
      <c r="AI5" s="75">
        <f t="shared" si="2"/>
        <v>9931261.6699999999</v>
      </c>
      <c r="AJ5" s="75">
        <f t="shared" si="2"/>
        <v>1884581.5599999998</v>
      </c>
      <c r="AK5" s="75">
        <f t="shared" si="2"/>
        <v>2077662.8399999999</v>
      </c>
      <c r="AL5" s="75">
        <f t="shared" si="2"/>
        <v>6066530.1399999997</v>
      </c>
      <c r="AM5" s="75">
        <f t="shared" si="2"/>
        <v>5775298.5200000005</v>
      </c>
      <c r="AN5" s="75">
        <f t="shared" si="2"/>
        <v>5469328.1600000001</v>
      </c>
      <c r="AO5" s="75">
        <f t="shared" si="2"/>
        <v>1688154.88</v>
      </c>
      <c r="AP5" s="75">
        <f t="shared" si="2"/>
        <v>13922324.969999999</v>
      </c>
      <c r="AQ5" s="75">
        <f t="shared" si="2"/>
        <v>3675736.5500000003</v>
      </c>
      <c r="AR5" s="75">
        <f t="shared" si="2"/>
        <v>2883653.4699999997</v>
      </c>
      <c r="AS5" s="75">
        <f t="shared" si="2"/>
        <v>11869488.51</v>
      </c>
      <c r="AT5" s="75">
        <f t="shared" si="2"/>
        <v>2610512.23</v>
      </c>
      <c r="AU5" s="75">
        <f t="shared" si="2"/>
        <v>4064289.31</v>
      </c>
      <c r="AV5" s="75">
        <f t="shared" si="2"/>
        <v>3238914.9200000009</v>
      </c>
      <c r="AW5" s="75">
        <f t="shared" si="2"/>
        <v>5993608.2599999998</v>
      </c>
      <c r="AX5" s="75">
        <f t="shared" si="2"/>
        <v>3392744.83</v>
      </c>
      <c r="AY5" s="75">
        <f t="shared" si="2"/>
        <v>724238.92</v>
      </c>
      <c r="AZ5" s="75">
        <f t="shared" si="2"/>
        <v>2708714.2800000003</v>
      </c>
      <c r="BA5" s="75">
        <f t="shared" si="2"/>
        <v>4744472.3599999994</v>
      </c>
      <c r="BB5" s="75">
        <f t="shared" si="2"/>
        <v>2973001.33</v>
      </c>
      <c r="BC5" s="75">
        <f t="shared" si="2"/>
        <v>4994920.1399999987</v>
      </c>
      <c r="BD5" s="75">
        <f t="shared" si="2"/>
        <v>881630.79999999993</v>
      </c>
      <c r="BE5" s="75">
        <f t="shared" si="2"/>
        <v>27043126.07</v>
      </c>
      <c r="BF5" s="75">
        <f t="shared" si="2"/>
        <v>2304845.67</v>
      </c>
      <c r="BG5" s="75">
        <f>SUM(F5:BF5)</f>
        <v>330810559.92999995</v>
      </c>
      <c r="BH5" s="75">
        <f t="shared" ref="BH5:BH68" si="3">SUM(F5:X5)</f>
        <v>145231931.76999998</v>
      </c>
      <c r="BI5" s="75">
        <f t="shared" ref="BI5:BI68" si="4">SUM(Y5:AK5)</f>
        <v>68553093.840000018</v>
      </c>
      <c r="BJ5" s="75">
        <f t="shared" ref="BJ5:BJ68" si="5">SUM(AL5:BF5)</f>
        <v>117025534.32000001</v>
      </c>
    </row>
    <row r="6" spans="1:62" x14ac:dyDescent="0.25">
      <c r="A6" s="79"/>
      <c r="B6" s="79"/>
      <c r="C6" s="69">
        <v>100</v>
      </c>
      <c r="D6" s="69"/>
      <c r="E6" s="69" t="s">
        <v>241</v>
      </c>
      <c r="F6" s="70">
        <f>F7+F8+F9+F10+F11+F12</f>
        <v>4761773.55</v>
      </c>
      <c r="G6" s="70">
        <f t="shared" ref="G6:BF6" si="6">G7+G8+G9+G10+G11+G12</f>
        <v>302167.90000000002</v>
      </c>
      <c r="H6" s="70">
        <f t="shared" si="6"/>
        <v>733394.19000000006</v>
      </c>
      <c r="I6" s="70">
        <f t="shared" si="6"/>
        <v>1668991.62</v>
      </c>
      <c r="J6" s="70">
        <f t="shared" si="6"/>
        <v>1943644.76</v>
      </c>
      <c r="K6" s="70">
        <f t="shared" si="6"/>
        <v>1383876.73</v>
      </c>
      <c r="L6" s="70">
        <f t="shared" si="6"/>
        <v>3781515.14</v>
      </c>
      <c r="M6" s="70">
        <f t="shared" si="6"/>
        <v>7905702.0599999996</v>
      </c>
      <c r="N6" s="70">
        <f t="shared" si="6"/>
        <v>554893.13</v>
      </c>
      <c r="O6" s="70">
        <f t="shared" si="6"/>
        <v>210024.25999999998</v>
      </c>
      <c r="P6" s="70">
        <f t="shared" si="6"/>
        <v>4175094.7</v>
      </c>
      <c r="Q6" s="70">
        <f t="shared" si="6"/>
        <v>536107.89</v>
      </c>
      <c r="R6" s="70">
        <f t="shared" si="6"/>
        <v>133253.5</v>
      </c>
      <c r="S6" s="70">
        <f t="shared" si="6"/>
        <v>412368</v>
      </c>
      <c r="T6" s="70">
        <f t="shared" si="6"/>
        <v>1461546.04</v>
      </c>
      <c r="U6" s="70">
        <f t="shared" si="6"/>
        <v>1759790.73</v>
      </c>
      <c r="V6" s="70">
        <f t="shared" si="6"/>
        <v>50338.590000000004</v>
      </c>
      <c r="W6" s="70">
        <f t="shared" si="6"/>
        <v>741069.01</v>
      </c>
      <c r="X6" s="70">
        <f t="shared" si="6"/>
        <v>1345347.03</v>
      </c>
      <c r="Y6" s="70">
        <f t="shared" si="6"/>
        <v>1622144.63</v>
      </c>
      <c r="Z6" s="70">
        <f t="shared" si="6"/>
        <v>1771580.9400000002</v>
      </c>
      <c r="AA6" s="70">
        <f t="shared" si="6"/>
        <v>10198833.639999999</v>
      </c>
      <c r="AB6" s="70">
        <f t="shared" si="6"/>
        <v>138251.29</v>
      </c>
      <c r="AC6" s="70">
        <f t="shared" si="6"/>
        <v>1094668.75</v>
      </c>
      <c r="AD6" s="70">
        <f t="shared" si="6"/>
        <v>880394.51</v>
      </c>
      <c r="AE6" s="70">
        <f t="shared" si="6"/>
        <v>342489.03</v>
      </c>
      <c r="AF6" s="70">
        <f t="shared" si="6"/>
        <v>2034565.5</v>
      </c>
      <c r="AG6" s="70">
        <f t="shared" si="6"/>
        <v>3979910.18</v>
      </c>
      <c r="AH6" s="70">
        <f t="shared" si="6"/>
        <v>3390748.74</v>
      </c>
      <c r="AI6" s="70">
        <f t="shared" si="6"/>
        <v>5405551.2599999998</v>
      </c>
      <c r="AJ6" s="70">
        <f t="shared" si="6"/>
        <v>916034.57</v>
      </c>
      <c r="AK6" s="70">
        <f t="shared" si="6"/>
        <v>989271.75</v>
      </c>
      <c r="AL6" s="70">
        <f t="shared" si="6"/>
        <v>2840923.92</v>
      </c>
      <c r="AM6" s="70">
        <f t="shared" si="6"/>
        <v>2575235.85</v>
      </c>
      <c r="AN6" s="70">
        <f t="shared" si="6"/>
        <v>1203093.8500000001</v>
      </c>
      <c r="AO6" s="70">
        <f t="shared" si="6"/>
        <v>814916.64</v>
      </c>
      <c r="AP6" s="70">
        <f t="shared" si="6"/>
        <v>2197768.77</v>
      </c>
      <c r="AQ6" s="70">
        <f t="shared" si="6"/>
        <v>1649913.94</v>
      </c>
      <c r="AR6" s="70">
        <f t="shared" si="6"/>
        <v>1965900.9400000002</v>
      </c>
      <c r="AS6" s="70">
        <f t="shared" si="6"/>
        <v>2626538.67</v>
      </c>
      <c r="AT6" s="70">
        <f t="shared" si="6"/>
        <v>866219.63</v>
      </c>
      <c r="AU6" s="70">
        <f t="shared" si="6"/>
        <v>1523430.25</v>
      </c>
      <c r="AV6" s="70">
        <f t="shared" si="6"/>
        <v>2344334.9900000002</v>
      </c>
      <c r="AW6" s="70">
        <f t="shared" si="6"/>
        <v>2975513.44</v>
      </c>
      <c r="AX6" s="70">
        <f t="shared" si="6"/>
        <v>1521074.0999999999</v>
      </c>
      <c r="AY6" s="70">
        <f t="shared" si="6"/>
        <v>469462.92000000004</v>
      </c>
      <c r="AZ6" s="70">
        <f t="shared" si="6"/>
        <v>1634746.37</v>
      </c>
      <c r="BA6" s="70">
        <f t="shared" si="6"/>
        <v>403716.93</v>
      </c>
      <c r="BB6" s="70">
        <f t="shared" si="6"/>
        <v>1436465.86</v>
      </c>
      <c r="BC6" s="70">
        <f t="shared" si="6"/>
        <v>528923.94999999995</v>
      </c>
      <c r="BD6" s="70">
        <f t="shared" si="6"/>
        <v>655759.69999999995</v>
      </c>
      <c r="BE6" s="70">
        <f t="shared" si="6"/>
        <v>4276682.9400000004</v>
      </c>
      <c r="BF6" s="70">
        <f t="shared" si="6"/>
        <v>817219.69</v>
      </c>
      <c r="BG6" s="70">
        <f t="shared" ref="BG6:BG69" si="7">SUM(F6:BF6)</f>
        <v>101953186.96999998</v>
      </c>
      <c r="BH6" s="70">
        <f t="shared" si="3"/>
        <v>33860898.830000006</v>
      </c>
      <c r="BI6" s="70">
        <f t="shared" si="4"/>
        <v>32764444.789999999</v>
      </c>
      <c r="BJ6" s="70">
        <f t="shared" si="5"/>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7"/>
        <v>277566.88000000012</v>
      </c>
      <c r="BH7" s="80">
        <f t="shared" si="3"/>
        <v>178387.93000000002</v>
      </c>
      <c r="BI7" s="80">
        <f t="shared" si="4"/>
        <v>57922.26</v>
      </c>
      <c r="BJ7" s="80">
        <f t="shared" si="5"/>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7"/>
        <v>19437146.110000003</v>
      </c>
      <c r="BH8" s="80">
        <f t="shared" si="3"/>
        <v>10840081.800000003</v>
      </c>
      <c r="BI8" s="80">
        <f t="shared" si="4"/>
        <v>3682050.4799999995</v>
      </c>
      <c r="BJ8" s="80">
        <f t="shared" si="5"/>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7"/>
        <v>81667082.390000015</v>
      </c>
      <c r="BH9" s="80">
        <f t="shared" si="3"/>
        <v>22342583.800000001</v>
      </c>
      <c r="BI9" s="80">
        <f t="shared" si="4"/>
        <v>29024472.050000004</v>
      </c>
      <c r="BJ9" s="80">
        <f t="shared" si="5"/>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7"/>
        <v>560000</v>
      </c>
      <c r="BH10" s="80">
        <f t="shared" si="3"/>
        <v>500000</v>
      </c>
      <c r="BI10" s="80">
        <f t="shared" si="4"/>
        <v>0</v>
      </c>
      <c r="BJ10" s="80">
        <f t="shared" si="5"/>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7"/>
        <v>7546.0400000000009</v>
      </c>
      <c r="BH11" s="80">
        <f t="shared" si="3"/>
        <v>0</v>
      </c>
      <c r="BI11" s="80">
        <f t="shared" si="4"/>
        <v>0</v>
      </c>
      <c r="BJ11" s="80">
        <f t="shared" si="5"/>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7"/>
        <v>3845.55</v>
      </c>
      <c r="BH12" s="80">
        <f t="shared" si="3"/>
        <v>-154.69999999999999</v>
      </c>
      <c r="BI12" s="80">
        <f t="shared" si="4"/>
        <v>0</v>
      </c>
      <c r="BJ12" s="80">
        <f t="shared" si="5"/>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8">G15+G16+G17+G18+G19+G20+G21+G22</f>
        <v>119261.67</v>
      </c>
      <c r="H14" s="70">
        <f t="shared" si="8"/>
        <v>414542.23000000004</v>
      </c>
      <c r="I14" s="70">
        <f t="shared" si="8"/>
        <v>413303.21</v>
      </c>
      <c r="J14" s="70">
        <f t="shared" si="8"/>
        <v>3344664.07</v>
      </c>
      <c r="K14" s="70">
        <f t="shared" si="8"/>
        <v>1880588.5299999998</v>
      </c>
      <c r="L14" s="70">
        <f t="shared" si="8"/>
        <v>2224141.4900000002</v>
      </c>
      <c r="M14" s="70">
        <f t="shared" si="8"/>
        <v>16964940.300000001</v>
      </c>
      <c r="N14" s="70">
        <f t="shared" si="8"/>
        <v>1213204.5699999998</v>
      </c>
      <c r="O14" s="70">
        <f t="shared" si="8"/>
        <v>110491.76000000001</v>
      </c>
      <c r="P14" s="70">
        <f t="shared" si="8"/>
        <v>6498496.6899999995</v>
      </c>
      <c r="Q14" s="70">
        <f t="shared" si="8"/>
        <v>789626.20000000007</v>
      </c>
      <c r="R14" s="70">
        <f t="shared" si="8"/>
        <v>193155.7</v>
      </c>
      <c r="S14" s="70">
        <f t="shared" si="8"/>
        <v>362321.17000000004</v>
      </c>
      <c r="T14" s="70">
        <f t="shared" si="8"/>
        <v>459880.36</v>
      </c>
      <c r="U14" s="70">
        <f t="shared" si="8"/>
        <v>914378.86999999988</v>
      </c>
      <c r="V14" s="70">
        <f t="shared" si="8"/>
        <v>225376.31</v>
      </c>
      <c r="W14" s="70">
        <f t="shared" si="8"/>
        <v>677648.74</v>
      </c>
      <c r="X14" s="70">
        <f t="shared" si="8"/>
        <v>3262961.49</v>
      </c>
      <c r="Y14" s="70">
        <f t="shared" si="8"/>
        <v>166859.37999999998</v>
      </c>
      <c r="Z14" s="70">
        <f t="shared" si="8"/>
        <v>1214340.25</v>
      </c>
      <c r="AA14" s="70">
        <f t="shared" si="8"/>
        <v>1410852.8199999998</v>
      </c>
      <c r="AB14" s="70">
        <f t="shared" si="8"/>
        <v>130073.53</v>
      </c>
      <c r="AC14" s="70">
        <f t="shared" si="8"/>
        <v>127270.15999999999</v>
      </c>
      <c r="AD14" s="70">
        <f t="shared" si="8"/>
        <v>626938.14000000013</v>
      </c>
      <c r="AE14" s="70">
        <f t="shared" si="8"/>
        <v>660559.30999999994</v>
      </c>
      <c r="AF14" s="70">
        <f t="shared" si="8"/>
        <v>440484.83999999997</v>
      </c>
      <c r="AG14" s="70">
        <f t="shared" si="8"/>
        <v>212102.05</v>
      </c>
      <c r="AH14" s="70">
        <f t="shared" si="8"/>
        <v>1040789.23</v>
      </c>
      <c r="AI14" s="70">
        <f t="shared" si="8"/>
        <v>2869097.1499999994</v>
      </c>
      <c r="AJ14" s="70">
        <f t="shared" si="8"/>
        <v>944343.31</v>
      </c>
      <c r="AK14" s="70">
        <f t="shared" si="8"/>
        <v>140233.63999999998</v>
      </c>
      <c r="AL14" s="70">
        <f t="shared" si="8"/>
        <v>2055828.71</v>
      </c>
      <c r="AM14" s="70">
        <f t="shared" si="8"/>
        <v>1471852.85</v>
      </c>
      <c r="AN14" s="70">
        <f t="shared" si="8"/>
        <v>1772573.8599999999</v>
      </c>
      <c r="AO14" s="70">
        <f t="shared" si="8"/>
        <v>184819.22</v>
      </c>
      <c r="AP14" s="70">
        <f t="shared" si="8"/>
        <v>1514706.0699999998</v>
      </c>
      <c r="AQ14" s="70">
        <f t="shared" si="8"/>
        <v>656576.51</v>
      </c>
      <c r="AR14" s="70">
        <f t="shared" si="8"/>
        <v>406664.76999999996</v>
      </c>
      <c r="AS14" s="70">
        <f t="shared" si="8"/>
        <v>1515857.9</v>
      </c>
      <c r="AT14" s="70">
        <f t="shared" si="8"/>
        <v>866641.25</v>
      </c>
      <c r="AU14" s="70">
        <f t="shared" si="8"/>
        <v>1486619.52</v>
      </c>
      <c r="AV14" s="70">
        <f t="shared" si="8"/>
        <v>376774.2</v>
      </c>
      <c r="AW14" s="70">
        <f t="shared" si="8"/>
        <v>2428176.2200000002</v>
      </c>
      <c r="AX14" s="70">
        <f t="shared" si="8"/>
        <v>596045.30000000005</v>
      </c>
      <c r="AY14" s="70">
        <f t="shared" si="8"/>
        <v>122235.71</v>
      </c>
      <c r="AZ14" s="70">
        <f t="shared" si="8"/>
        <v>511381.06</v>
      </c>
      <c r="BA14" s="70">
        <f t="shared" si="8"/>
        <v>2517416.9299999997</v>
      </c>
      <c r="BB14" s="70">
        <f t="shared" si="8"/>
        <v>549900.22</v>
      </c>
      <c r="BC14" s="70">
        <f t="shared" si="8"/>
        <v>1676512.19</v>
      </c>
      <c r="BD14" s="70">
        <f t="shared" si="8"/>
        <v>217173.52</v>
      </c>
      <c r="BE14" s="70">
        <f t="shared" si="8"/>
        <v>10864545.25</v>
      </c>
      <c r="BF14" s="70">
        <f t="shared" si="8"/>
        <v>438183.51000000007</v>
      </c>
      <c r="BG14" s="70">
        <f t="shared" si="7"/>
        <v>83271481.24000001</v>
      </c>
      <c r="BH14" s="70">
        <f t="shared" si="3"/>
        <v>41057052.660000011</v>
      </c>
      <c r="BI14" s="70">
        <f t="shared" si="4"/>
        <v>9983943.8100000005</v>
      </c>
      <c r="BJ14" s="70">
        <f t="shared" si="5"/>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7"/>
        <v>29943442.710000001</v>
      </c>
      <c r="BH15" s="80">
        <f t="shared" si="3"/>
        <v>16381568.040000003</v>
      </c>
      <c r="BI15" s="80">
        <f t="shared" si="4"/>
        <v>5150160.9000000004</v>
      </c>
      <c r="BJ15" s="80">
        <f t="shared" si="5"/>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7"/>
        <v>5202534.41</v>
      </c>
      <c r="BH16" s="80">
        <f t="shared" si="3"/>
        <v>3240431.69</v>
      </c>
      <c r="BI16" s="80">
        <f t="shared" si="4"/>
        <v>722436.80999999994</v>
      </c>
      <c r="BJ16" s="80">
        <f t="shared" si="5"/>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7"/>
        <v>44472871.929999977</v>
      </c>
      <c r="BH17" s="80">
        <f t="shared" si="3"/>
        <v>20066650.189999998</v>
      </c>
      <c r="BI17" s="80">
        <f t="shared" si="4"/>
        <v>3458116.5600000005</v>
      </c>
      <c r="BJ17" s="80">
        <f t="shared" si="5"/>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7"/>
        <v>283265.90000000002</v>
      </c>
      <c r="BH18" s="80">
        <f t="shared" si="3"/>
        <v>0</v>
      </c>
      <c r="BI18" s="80">
        <f t="shared" si="4"/>
        <v>0</v>
      </c>
      <c r="BJ18" s="80">
        <f t="shared" si="5"/>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7"/>
        <v>1150751.1599999999</v>
      </c>
      <c r="BH19" s="80">
        <f t="shared" si="3"/>
        <v>0</v>
      </c>
      <c r="BI19" s="80">
        <f t="shared" si="4"/>
        <v>539254.58000000007</v>
      </c>
      <c r="BJ19" s="80">
        <f t="shared" si="5"/>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7"/>
        <v>1419524.56</v>
      </c>
      <c r="BH20" s="80">
        <f t="shared" si="3"/>
        <v>993347.11999999988</v>
      </c>
      <c r="BI20" s="80">
        <f t="shared" si="4"/>
        <v>34634.14</v>
      </c>
      <c r="BJ20" s="80">
        <f t="shared" si="5"/>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7"/>
        <v>30139.850000000002</v>
      </c>
      <c r="BH21" s="80">
        <f t="shared" si="3"/>
        <v>0</v>
      </c>
      <c r="BI21" s="80">
        <f t="shared" si="4"/>
        <v>19963.900000000001</v>
      </c>
      <c r="BJ21" s="80">
        <f t="shared" si="5"/>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7"/>
        <v>768950.72000000009</v>
      </c>
      <c r="BH22" s="80">
        <f t="shared" si="3"/>
        <v>375055.62000000005</v>
      </c>
      <c r="BI22" s="80">
        <f t="shared" si="4"/>
        <v>59376.92</v>
      </c>
      <c r="BJ22" s="80">
        <f t="shared" si="5"/>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4"/>
        <v>0</v>
      </c>
      <c r="BJ23" s="80"/>
    </row>
    <row r="24" spans="3:62" x14ac:dyDescent="0.25">
      <c r="C24" s="69">
        <v>102</v>
      </c>
      <c r="D24" s="69"/>
      <c r="E24" s="69" t="s">
        <v>243</v>
      </c>
      <c r="F24" s="70">
        <f>F25+F26+F27+F28</f>
        <v>0</v>
      </c>
      <c r="G24" s="70">
        <f t="shared" ref="G24:BF24" si="9">G25+G26+G27+G28</f>
        <v>0</v>
      </c>
      <c r="H24" s="70">
        <f t="shared" si="9"/>
        <v>0</v>
      </c>
      <c r="I24" s="70">
        <f t="shared" si="9"/>
        <v>0</v>
      </c>
      <c r="J24" s="70">
        <f>J25+J26+J27+J28</f>
        <v>0</v>
      </c>
      <c r="K24" s="70">
        <f t="shared" si="9"/>
        <v>0</v>
      </c>
      <c r="L24" s="70">
        <f t="shared" si="9"/>
        <v>0</v>
      </c>
      <c r="M24" s="70">
        <f t="shared" si="9"/>
        <v>0</v>
      </c>
      <c r="N24" s="70">
        <f t="shared" si="9"/>
        <v>0</v>
      </c>
      <c r="O24" s="70">
        <f t="shared" si="9"/>
        <v>0</v>
      </c>
      <c r="P24" s="70">
        <f t="shared" si="9"/>
        <v>0</v>
      </c>
      <c r="Q24" s="70">
        <f t="shared" si="9"/>
        <v>0</v>
      </c>
      <c r="R24" s="70">
        <f t="shared" si="9"/>
        <v>0</v>
      </c>
      <c r="S24" s="70">
        <f t="shared" si="9"/>
        <v>0</v>
      </c>
      <c r="T24" s="70">
        <f t="shared" si="9"/>
        <v>0</v>
      </c>
      <c r="U24" s="70">
        <f t="shared" si="9"/>
        <v>0</v>
      </c>
      <c r="V24" s="70">
        <f t="shared" si="9"/>
        <v>0</v>
      </c>
      <c r="W24" s="70">
        <f t="shared" si="9"/>
        <v>0</v>
      </c>
      <c r="X24" s="70">
        <f t="shared" si="9"/>
        <v>0</v>
      </c>
      <c r="Y24" s="70">
        <f t="shared" si="9"/>
        <v>0</v>
      </c>
      <c r="Z24" s="70">
        <f t="shared" si="9"/>
        <v>870298.43</v>
      </c>
      <c r="AA24" s="70">
        <f t="shared" si="9"/>
        <v>0</v>
      </c>
      <c r="AB24" s="70">
        <f t="shared" si="9"/>
        <v>0</v>
      </c>
      <c r="AC24" s="70">
        <f t="shared" si="9"/>
        <v>0</v>
      </c>
      <c r="AD24" s="70">
        <f t="shared" si="9"/>
        <v>0</v>
      </c>
      <c r="AE24" s="70">
        <f t="shared" si="9"/>
        <v>0</v>
      </c>
      <c r="AF24" s="70">
        <f t="shared" si="9"/>
        <v>0</v>
      </c>
      <c r="AG24" s="70">
        <f t="shared" si="9"/>
        <v>0</v>
      </c>
      <c r="AH24" s="70">
        <f t="shared" si="9"/>
        <v>0</v>
      </c>
      <c r="AI24" s="70">
        <f t="shared" si="9"/>
        <v>0</v>
      </c>
      <c r="AJ24" s="70">
        <f t="shared" si="9"/>
        <v>0</v>
      </c>
      <c r="AK24" s="70">
        <f t="shared" si="9"/>
        <v>0</v>
      </c>
      <c r="AL24" s="70">
        <f t="shared" si="9"/>
        <v>0</v>
      </c>
      <c r="AM24" s="70">
        <f t="shared" si="9"/>
        <v>0</v>
      </c>
      <c r="AN24" s="70">
        <f t="shared" si="9"/>
        <v>0</v>
      </c>
      <c r="AO24" s="70">
        <f t="shared" si="9"/>
        <v>0</v>
      </c>
      <c r="AP24" s="70">
        <f t="shared" si="9"/>
        <v>0</v>
      </c>
      <c r="AQ24" s="70">
        <f t="shared" si="9"/>
        <v>0</v>
      </c>
      <c r="AR24" s="70">
        <f t="shared" si="9"/>
        <v>0</v>
      </c>
      <c r="AS24" s="70">
        <f t="shared" si="9"/>
        <v>0</v>
      </c>
      <c r="AT24" s="70">
        <f t="shared" si="9"/>
        <v>0</v>
      </c>
      <c r="AU24" s="70">
        <f t="shared" si="9"/>
        <v>0</v>
      </c>
      <c r="AV24" s="70">
        <f t="shared" si="9"/>
        <v>0</v>
      </c>
      <c r="AW24" s="70">
        <f t="shared" si="9"/>
        <v>0</v>
      </c>
      <c r="AX24" s="70">
        <f t="shared" si="9"/>
        <v>0</v>
      </c>
      <c r="AY24" s="70">
        <f t="shared" si="9"/>
        <v>0</v>
      </c>
      <c r="AZ24" s="70">
        <f t="shared" si="9"/>
        <v>0</v>
      </c>
      <c r="BA24" s="70">
        <f t="shared" si="9"/>
        <v>0</v>
      </c>
      <c r="BB24" s="70">
        <f t="shared" si="9"/>
        <v>0</v>
      </c>
      <c r="BC24" s="70">
        <f t="shared" si="9"/>
        <v>0</v>
      </c>
      <c r="BD24" s="70">
        <f t="shared" si="9"/>
        <v>0</v>
      </c>
      <c r="BE24" s="70">
        <f t="shared" si="9"/>
        <v>0</v>
      </c>
      <c r="BF24" s="70">
        <f t="shared" si="9"/>
        <v>0</v>
      </c>
      <c r="BG24" s="70">
        <f t="shared" si="7"/>
        <v>870298.43</v>
      </c>
      <c r="BH24" s="70">
        <f t="shared" si="3"/>
        <v>0</v>
      </c>
      <c r="BI24" s="70">
        <f t="shared" si="4"/>
        <v>870298.43</v>
      </c>
      <c r="BJ24" s="70">
        <f t="shared" si="5"/>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7"/>
        <v>868298.43</v>
      </c>
      <c r="BH25" s="80">
        <f t="shared" si="3"/>
        <v>0</v>
      </c>
      <c r="BI25" s="80">
        <f t="shared" si="4"/>
        <v>868298.43</v>
      </c>
      <c r="BJ25" s="80">
        <f t="shared" si="5"/>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7"/>
        <v>0</v>
      </c>
      <c r="BH26" s="80">
        <f t="shared" si="3"/>
        <v>0</v>
      </c>
      <c r="BI26" s="80">
        <f t="shared" si="4"/>
        <v>0</v>
      </c>
      <c r="BJ26" s="80">
        <f t="shared" si="5"/>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7"/>
        <v>0</v>
      </c>
      <c r="BH27" s="80">
        <f t="shared" si="3"/>
        <v>0</v>
      </c>
      <c r="BI27" s="80">
        <f t="shared" si="4"/>
        <v>0</v>
      </c>
      <c r="BJ27" s="80">
        <f t="shared" si="5"/>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7"/>
        <v>2000</v>
      </c>
      <c r="BH28" s="80">
        <f t="shared" si="3"/>
        <v>0</v>
      </c>
      <c r="BI28" s="80">
        <f t="shared" si="4"/>
        <v>2000</v>
      </c>
      <c r="BJ28" s="80">
        <f t="shared" si="5"/>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10">G31+G32+G33+G34+G35+G36+G37+G38</f>
        <v>59735.76</v>
      </c>
      <c r="H30" s="70">
        <f t="shared" si="10"/>
        <v>997231.17</v>
      </c>
      <c r="I30" s="70">
        <f t="shared" si="10"/>
        <v>93910.13</v>
      </c>
      <c r="J30" s="70">
        <f t="shared" si="10"/>
        <v>2344663.4899999998</v>
      </c>
      <c r="K30" s="70">
        <f t="shared" si="10"/>
        <v>2293000.21</v>
      </c>
      <c r="L30" s="70">
        <f t="shared" si="10"/>
        <v>401740.55</v>
      </c>
      <c r="M30" s="70">
        <f t="shared" si="10"/>
        <v>6589497.6200000001</v>
      </c>
      <c r="N30" s="70">
        <f t="shared" si="10"/>
        <v>750960.63</v>
      </c>
      <c r="O30" s="70">
        <f t="shared" si="10"/>
        <v>66570.720000000001</v>
      </c>
      <c r="P30" s="70">
        <f t="shared" si="10"/>
        <v>1511145.43</v>
      </c>
      <c r="Q30" s="70">
        <f t="shared" si="10"/>
        <v>-13430.35</v>
      </c>
      <c r="R30" s="70">
        <f t="shared" si="10"/>
        <v>21015.24</v>
      </c>
      <c r="S30" s="70">
        <f t="shared" si="10"/>
        <v>26502.600000000002</v>
      </c>
      <c r="T30" s="70">
        <f t="shared" si="10"/>
        <v>112837.05</v>
      </c>
      <c r="U30" s="70">
        <f t="shared" si="10"/>
        <v>69361.7</v>
      </c>
      <c r="V30" s="70">
        <f t="shared" si="10"/>
        <v>34473.449999999997</v>
      </c>
      <c r="W30" s="70">
        <f t="shared" si="10"/>
        <v>437892.33</v>
      </c>
      <c r="X30" s="70">
        <f t="shared" si="10"/>
        <v>704296.98</v>
      </c>
      <c r="Y30" s="70">
        <f t="shared" si="10"/>
        <v>135595.99</v>
      </c>
      <c r="Z30" s="70">
        <f t="shared" si="10"/>
        <v>332025.37</v>
      </c>
      <c r="AA30" s="70">
        <f t="shared" si="10"/>
        <v>853733.95</v>
      </c>
      <c r="AB30" s="70">
        <f t="shared" si="10"/>
        <v>68645.539999999994</v>
      </c>
      <c r="AC30" s="70">
        <f t="shared" si="10"/>
        <v>19418.05</v>
      </c>
      <c r="AD30" s="70">
        <f t="shared" si="10"/>
        <v>34136.699999999997</v>
      </c>
      <c r="AE30" s="70">
        <f t="shared" si="10"/>
        <v>163025.15</v>
      </c>
      <c r="AF30" s="70">
        <f t="shared" si="10"/>
        <v>120928.5</v>
      </c>
      <c r="AG30" s="70">
        <f t="shared" si="10"/>
        <v>106382.35</v>
      </c>
      <c r="AH30" s="70">
        <f t="shared" si="10"/>
        <v>650724.59000000008</v>
      </c>
      <c r="AI30" s="70">
        <f t="shared" si="10"/>
        <v>929778.26</v>
      </c>
      <c r="AJ30" s="70">
        <f t="shared" si="10"/>
        <v>20043.68</v>
      </c>
      <c r="AK30" s="70">
        <f t="shared" si="10"/>
        <v>4474.05</v>
      </c>
      <c r="AL30" s="70">
        <f t="shared" si="10"/>
        <v>732577.51</v>
      </c>
      <c r="AM30" s="70">
        <f t="shared" si="10"/>
        <v>345359.52</v>
      </c>
      <c r="AN30" s="70">
        <f t="shared" si="10"/>
        <v>657311.57000000007</v>
      </c>
      <c r="AO30" s="70">
        <f t="shared" si="10"/>
        <v>56581.88</v>
      </c>
      <c r="AP30" s="70">
        <f t="shared" si="10"/>
        <v>460565.13</v>
      </c>
      <c r="AQ30" s="70">
        <f t="shared" si="10"/>
        <v>670826.10000000009</v>
      </c>
      <c r="AR30" s="70">
        <f t="shared" si="10"/>
        <v>216341.76000000001</v>
      </c>
      <c r="AS30" s="70">
        <f t="shared" si="10"/>
        <v>592362.59000000008</v>
      </c>
      <c r="AT30" s="70">
        <f t="shared" si="10"/>
        <v>26454.35</v>
      </c>
      <c r="AU30" s="70">
        <f t="shared" si="10"/>
        <v>331069.53999999998</v>
      </c>
      <c r="AV30" s="70">
        <f t="shared" si="10"/>
        <v>381482.53</v>
      </c>
      <c r="AW30" s="70">
        <f t="shared" si="10"/>
        <v>589909.60000000009</v>
      </c>
      <c r="AX30" s="70">
        <f t="shared" si="10"/>
        <v>126164.38</v>
      </c>
      <c r="AY30" s="70">
        <f t="shared" si="10"/>
        <v>16303.29</v>
      </c>
      <c r="AZ30" s="70">
        <f t="shared" si="10"/>
        <v>353631.85</v>
      </c>
      <c r="BA30" s="70">
        <f t="shared" si="10"/>
        <v>461292.5</v>
      </c>
      <c r="BB30" s="70">
        <f t="shared" si="10"/>
        <v>586650.25</v>
      </c>
      <c r="BC30" s="70">
        <f t="shared" si="10"/>
        <v>154798.39999999999</v>
      </c>
      <c r="BD30" s="70">
        <f t="shared" si="10"/>
        <v>2853.58</v>
      </c>
      <c r="BE30" s="70">
        <f t="shared" si="10"/>
        <v>2198853.5300000003</v>
      </c>
      <c r="BF30" s="70">
        <f t="shared" si="10"/>
        <v>154102.47</v>
      </c>
      <c r="BG30" s="70">
        <f t="shared" si="7"/>
        <v>29257045.410000004</v>
      </c>
      <c r="BH30" s="70">
        <f t="shared" si="3"/>
        <v>16702640.9</v>
      </c>
      <c r="BI30" s="70">
        <f t="shared" si="4"/>
        <v>3438912.18</v>
      </c>
      <c r="BJ30" s="70">
        <f t="shared" si="5"/>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7"/>
        <v>136688.12</v>
      </c>
      <c r="BH31" s="80">
        <f t="shared" si="3"/>
        <v>-8175.8</v>
      </c>
      <c r="BI31" s="80">
        <f t="shared" si="4"/>
        <v>100552.76000000001</v>
      </c>
      <c r="BJ31" s="80">
        <f t="shared" si="5"/>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7"/>
        <v>14210136.930000003</v>
      </c>
      <c r="BH32" s="80">
        <f t="shared" si="3"/>
        <v>8805421.7100000009</v>
      </c>
      <c r="BI32" s="80">
        <f t="shared" si="4"/>
        <v>1713664.53</v>
      </c>
      <c r="BJ32" s="80">
        <f t="shared" si="5"/>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7"/>
        <v>4609765.8000000017</v>
      </c>
      <c r="BH33" s="80">
        <f t="shared" si="3"/>
        <v>2292499.83</v>
      </c>
      <c r="BI33" s="80">
        <f t="shared" si="4"/>
        <v>1089935.76</v>
      </c>
      <c r="BJ33" s="80">
        <f t="shared" si="5"/>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7"/>
        <v>7019487.9099999992</v>
      </c>
      <c r="BH34" s="80">
        <f t="shared" si="3"/>
        <v>3442310.17</v>
      </c>
      <c r="BI34" s="80">
        <f t="shared" si="4"/>
        <v>482879.7</v>
      </c>
      <c r="BJ34" s="80">
        <f t="shared" si="5"/>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7"/>
        <v>167611.71</v>
      </c>
      <c r="BH35" s="80">
        <f t="shared" si="3"/>
        <v>78551.8</v>
      </c>
      <c r="BI35" s="80">
        <f t="shared" si="4"/>
        <v>1281.45</v>
      </c>
      <c r="BJ35" s="80">
        <f t="shared" si="5"/>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7"/>
        <v>688123.25000000012</v>
      </c>
      <c r="BH36" s="80">
        <f t="shared" si="3"/>
        <v>0</v>
      </c>
      <c r="BI36" s="80">
        <f t="shared" si="4"/>
        <v>44890.93</v>
      </c>
      <c r="BJ36" s="80">
        <f t="shared" si="5"/>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7"/>
        <v>903807.05</v>
      </c>
      <c r="BH37" s="80">
        <f t="shared" si="3"/>
        <v>898100</v>
      </c>
      <c r="BI37" s="80">
        <f t="shared" si="4"/>
        <v>5707.05</v>
      </c>
      <c r="BJ37" s="80">
        <f t="shared" si="5"/>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7"/>
        <v>1521424.6400000001</v>
      </c>
      <c r="BH38" s="80">
        <f t="shared" si="3"/>
        <v>1193933.19</v>
      </c>
      <c r="BI38" s="80">
        <f t="shared" si="4"/>
        <v>0</v>
      </c>
      <c r="BJ38" s="80">
        <f t="shared" si="5"/>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1">G41+G42+G43+G44+G45</f>
        <v>0</v>
      </c>
      <c r="H40" s="70">
        <f t="shared" si="11"/>
        <v>0</v>
      </c>
      <c r="I40" s="70">
        <f t="shared" si="11"/>
        <v>0</v>
      </c>
      <c r="J40" s="70">
        <f t="shared" si="11"/>
        <v>0</v>
      </c>
      <c r="K40" s="70">
        <f t="shared" si="11"/>
        <v>0</v>
      </c>
      <c r="L40" s="70">
        <f t="shared" si="11"/>
        <v>0</v>
      </c>
      <c r="M40" s="70">
        <f t="shared" si="11"/>
        <v>474981.55</v>
      </c>
      <c r="N40" s="70">
        <f t="shared" si="11"/>
        <v>0</v>
      </c>
      <c r="O40" s="70">
        <f t="shared" si="11"/>
        <v>0</v>
      </c>
      <c r="P40" s="70">
        <f t="shared" si="11"/>
        <v>227560</v>
      </c>
      <c r="Q40" s="70">
        <f t="shared" si="11"/>
        <v>0</v>
      </c>
      <c r="R40" s="70">
        <f t="shared" si="11"/>
        <v>0</v>
      </c>
      <c r="S40" s="70">
        <f t="shared" si="11"/>
        <v>0</v>
      </c>
      <c r="T40" s="70">
        <f t="shared" si="11"/>
        <v>0</v>
      </c>
      <c r="U40" s="70">
        <f t="shared" si="11"/>
        <v>0</v>
      </c>
      <c r="V40" s="70">
        <f t="shared" si="11"/>
        <v>0</v>
      </c>
      <c r="W40" s="70">
        <f t="shared" si="11"/>
        <v>3241.25</v>
      </c>
      <c r="X40" s="70">
        <f t="shared" si="11"/>
        <v>3200</v>
      </c>
      <c r="Y40" s="70">
        <f t="shared" si="11"/>
        <v>0</v>
      </c>
      <c r="Z40" s="70">
        <f t="shared" si="11"/>
        <v>0</v>
      </c>
      <c r="AA40" s="70">
        <f t="shared" si="11"/>
        <v>0</v>
      </c>
      <c r="AB40" s="70">
        <f t="shared" si="11"/>
        <v>0</v>
      </c>
      <c r="AC40" s="70">
        <f t="shared" si="11"/>
        <v>11150.9</v>
      </c>
      <c r="AD40" s="70">
        <f t="shared" si="11"/>
        <v>0</v>
      </c>
      <c r="AE40" s="70">
        <f t="shared" si="11"/>
        <v>2356.75</v>
      </c>
      <c r="AF40" s="70">
        <f t="shared" si="11"/>
        <v>0</v>
      </c>
      <c r="AG40" s="70">
        <f t="shared" si="11"/>
        <v>0</v>
      </c>
      <c r="AH40" s="70">
        <f t="shared" si="11"/>
        <v>762211.9</v>
      </c>
      <c r="AI40" s="70">
        <f t="shared" si="11"/>
        <v>0</v>
      </c>
      <c r="AJ40" s="70">
        <f t="shared" si="11"/>
        <v>0</v>
      </c>
      <c r="AK40" s="70">
        <f t="shared" si="11"/>
        <v>11998.4</v>
      </c>
      <c r="AL40" s="70">
        <f t="shared" si="11"/>
        <v>0</v>
      </c>
      <c r="AM40" s="70">
        <f t="shared" si="11"/>
        <v>0</v>
      </c>
      <c r="AN40" s="70">
        <f t="shared" si="11"/>
        <v>2664.88</v>
      </c>
      <c r="AO40" s="70">
        <f t="shared" si="11"/>
        <v>0</v>
      </c>
      <c r="AP40" s="70">
        <f t="shared" si="11"/>
        <v>0</v>
      </c>
      <c r="AQ40" s="70">
        <f t="shared" si="11"/>
        <v>0</v>
      </c>
      <c r="AR40" s="70">
        <f t="shared" si="11"/>
        <v>0</v>
      </c>
      <c r="AS40" s="70">
        <f t="shared" si="11"/>
        <v>0</v>
      </c>
      <c r="AT40" s="70">
        <f t="shared" si="11"/>
        <v>0</v>
      </c>
      <c r="AU40" s="70">
        <f t="shared" si="11"/>
        <v>0</v>
      </c>
      <c r="AV40" s="70">
        <f t="shared" si="11"/>
        <v>0</v>
      </c>
      <c r="AW40" s="70">
        <f t="shared" si="11"/>
        <v>0</v>
      </c>
      <c r="AX40" s="70">
        <f t="shared" si="11"/>
        <v>0</v>
      </c>
      <c r="AY40" s="70">
        <f t="shared" si="11"/>
        <v>0</v>
      </c>
      <c r="AZ40" s="70">
        <f t="shared" si="11"/>
        <v>0</v>
      </c>
      <c r="BA40" s="70">
        <f t="shared" si="11"/>
        <v>0</v>
      </c>
      <c r="BB40" s="70">
        <f t="shared" si="11"/>
        <v>0</v>
      </c>
      <c r="BC40" s="70">
        <f t="shared" si="11"/>
        <v>25832</v>
      </c>
      <c r="BD40" s="70">
        <f t="shared" si="11"/>
        <v>0</v>
      </c>
      <c r="BE40" s="70">
        <f t="shared" si="11"/>
        <v>21795.25</v>
      </c>
      <c r="BF40" s="70">
        <f t="shared" si="11"/>
        <v>0</v>
      </c>
      <c r="BG40" s="70">
        <f t="shared" si="7"/>
        <v>1546992.88</v>
      </c>
      <c r="BH40" s="70">
        <f t="shared" si="3"/>
        <v>708982.8</v>
      </c>
      <c r="BI40" s="70">
        <f t="shared" si="4"/>
        <v>787717.95000000007</v>
      </c>
      <c r="BJ40" s="70">
        <f t="shared" si="5"/>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7"/>
        <v>41868.43</v>
      </c>
      <c r="BH41" s="80">
        <f t="shared" si="3"/>
        <v>3241.25</v>
      </c>
      <c r="BI41" s="80">
        <f t="shared" si="4"/>
        <v>14167.05</v>
      </c>
      <c r="BJ41" s="80">
        <f t="shared" si="5"/>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7"/>
        <v>695049.35000000009</v>
      </c>
      <c r="BH42" s="80">
        <f t="shared" si="3"/>
        <v>656741.55000000005</v>
      </c>
      <c r="BI42" s="80">
        <f t="shared" si="4"/>
        <v>12475.8</v>
      </c>
      <c r="BJ42" s="80">
        <f t="shared" si="5"/>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7"/>
        <v>0</v>
      </c>
      <c r="BH43" s="80">
        <f t="shared" si="3"/>
        <v>0</v>
      </c>
      <c r="BI43" s="80">
        <f t="shared" si="4"/>
        <v>0</v>
      </c>
      <c r="BJ43" s="80">
        <f t="shared" si="5"/>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7"/>
        <v>810075.1</v>
      </c>
      <c r="BH44" s="80">
        <f t="shared" si="3"/>
        <v>49000</v>
      </c>
      <c r="BI44" s="80">
        <f t="shared" si="4"/>
        <v>761075.1</v>
      </c>
      <c r="BJ44" s="80">
        <f t="shared" si="5"/>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7"/>
        <v>0</v>
      </c>
      <c r="BH45" s="80">
        <f t="shared" si="3"/>
        <v>0</v>
      </c>
      <c r="BI45" s="80">
        <f t="shared" si="4"/>
        <v>0</v>
      </c>
      <c r="BJ45" s="80">
        <f t="shared" si="5"/>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2">G48+G49+G50+G51</f>
        <v>200</v>
      </c>
      <c r="H47" s="70">
        <f t="shared" si="12"/>
        <v>0</v>
      </c>
      <c r="I47" s="70">
        <f t="shared" si="12"/>
        <v>2695</v>
      </c>
      <c r="J47" s="70">
        <f t="shared" si="12"/>
        <v>307817</v>
      </c>
      <c r="K47" s="70">
        <f t="shared" si="12"/>
        <v>1250</v>
      </c>
      <c r="L47" s="70">
        <f t="shared" si="12"/>
        <v>21400</v>
      </c>
      <c r="M47" s="70">
        <f t="shared" si="12"/>
        <v>1760135</v>
      </c>
      <c r="N47" s="70">
        <f t="shared" si="12"/>
        <v>1250</v>
      </c>
      <c r="O47" s="70">
        <f t="shared" si="12"/>
        <v>0</v>
      </c>
      <c r="P47" s="70">
        <f t="shared" si="12"/>
        <v>274683.5</v>
      </c>
      <c r="Q47" s="70">
        <f t="shared" si="12"/>
        <v>2102</v>
      </c>
      <c r="R47" s="70">
        <f t="shared" si="12"/>
        <v>13225</v>
      </c>
      <c r="S47" s="70">
        <f t="shared" si="12"/>
        <v>200</v>
      </c>
      <c r="T47" s="70">
        <f t="shared" si="12"/>
        <v>200</v>
      </c>
      <c r="U47" s="70">
        <f t="shared" si="12"/>
        <v>20800</v>
      </c>
      <c r="V47" s="70">
        <f t="shared" si="12"/>
        <v>0</v>
      </c>
      <c r="W47" s="70">
        <f t="shared" si="12"/>
        <v>950.55</v>
      </c>
      <c r="X47" s="70">
        <f t="shared" si="12"/>
        <v>5607</v>
      </c>
      <c r="Y47" s="70">
        <f t="shared" si="12"/>
        <v>0</v>
      </c>
      <c r="Z47" s="70">
        <f t="shared" si="12"/>
        <v>124417.84</v>
      </c>
      <c r="AA47" s="70">
        <f t="shared" si="12"/>
        <v>10450994.1</v>
      </c>
      <c r="AB47" s="70">
        <f t="shared" si="12"/>
        <v>249606.79</v>
      </c>
      <c r="AC47" s="70">
        <f t="shared" si="12"/>
        <v>76362.399999999994</v>
      </c>
      <c r="AD47" s="70">
        <f t="shared" si="12"/>
        <v>47440</v>
      </c>
      <c r="AE47" s="70">
        <f t="shared" si="12"/>
        <v>747</v>
      </c>
      <c r="AF47" s="70">
        <f t="shared" si="12"/>
        <v>2625</v>
      </c>
      <c r="AG47" s="70">
        <f t="shared" si="12"/>
        <v>0</v>
      </c>
      <c r="AH47" s="70">
        <f t="shared" si="12"/>
        <v>407020</v>
      </c>
      <c r="AI47" s="70">
        <f t="shared" si="12"/>
        <v>126835</v>
      </c>
      <c r="AJ47" s="70">
        <f t="shared" si="12"/>
        <v>4160</v>
      </c>
      <c r="AK47" s="70">
        <f t="shared" si="12"/>
        <v>37935</v>
      </c>
      <c r="AL47" s="70">
        <f t="shared" si="12"/>
        <v>17200</v>
      </c>
      <c r="AM47" s="70">
        <f t="shared" si="12"/>
        <v>71366</v>
      </c>
      <c r="AN47" s="70">
        <f t="shared" si="12"/>
        <v>0</v>
      </c>
      <c r="AO47" s="70">
        <f t="shared" si="12"/>
        <v>200</v>
      </c>
      <c r="AP47" s="70">
        <f t="shared" si="12"/>
        <v>2000</v>
      </c>
      <c r="AQ47" s="70">
        <f t="shared" si="12"/>
        <v>200</v>
      </c>
      <c r="AR47" s="70">
        <f t="shared" si="12"/>
        <v>200</v>
      </c>
      <c r="AS47" s="70">
        <f t="shared" si="12"/>
        <v>7080</v>
      </c>
      <c r="AT47" s="70">
        <f t="shared" si="12"/>
        <v>296500</v>
      </c>
      <c r="AU47" s="70">
        <f t="shared" si="12"/>
        <v>0</v>
      </c>
      <c r="AV47" s="70">
        <f t="shared" si="12"/>
        <v>1</v>
      </c>
      <c r="AW47" s="70">
        <f t="shared" si="12"/>
        <v>9</v>
      </c>
      <c r="AX47" s="70">
        <f t="shared" si="12"/>
        <v>94880</v>
      </c>
      <c r="AY47" s="70">
        <f t="shared" si="12"/>
        <v>1</v>
      </c>
      <c r="AZ47" s="70">
        <f t="shared" si="12"/>
        <v>1505</v>
      </c>
      <c r="BA47" s="70">
        <f t="shared" si="12"/>
        <v>131525</v>
      </c>
      <c r="BB47" s="70">
        <f t="shared" si="12"/>
        <v>1200</v>
      </c>
      <c r="BC47" s="70">
        <f t="shared" si="12"/>
        <v>61615</v>
      </c>
      <c r="BD47" s="70">
        <f t="shared" si="12"/>
        <v>504</v>
      </c>
      <c r="BE47" s="70">
        <f t="shared" si="12"/>
        <v>711666.2</v>
      </c>
      <c r="BF47" s="70">
        <f t="shared" si="12"/>
        <v>5</v>
      </c>
      <c r="BG47" s="70">
        <f t="shared" si="7"/>
        <v>15340916.379999997</v>
      </c>
      <c r="BH47" s="70">
        <f t="shared" si="3"/>
        <v>2415116.0499999998</v>
      </c>
      <c r="BI47" s="70">
        <f t="shared" si="4"/>
        <v>11528143.129999999</v>
      </c>
      <c r="BJ47" s="70">
        <f t="shared" si="5"/>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7"/>
        <v>4483349.25</v>
      </c>
      <c r="BH48" s="80">
        <f t="shared" si="3"/>
        <v>1432891.05</v>
      </c>
      <c r="BI48" s="80">
        <f t="shared" si="4"/>
        <v>1652801</v>
      </c>
      <c r="BJ48" s="80">
        <f t="shared" si="5"/>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7"/>
        <v>10857567.129999999</v>
      </c>
      <c r="BH49" s="80">
        <f t="shared" si="3"/>
        <v>982225</v>
      </c>
      <c r="BI49" s="80">
        <f t="shared" si="4"/>
        <v>9875342.129999999</v>
      </c>
      <c r="BJ49" s="80">
        <f t="shared" si="5"/>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7"/>
        <v>0</v>
      </c>
      <c r="BH50" s="80">
        <f t="shared" si="3"/>
        <v>0</v>
      </c>
      <c r="BI50" s="80">
        <f t="shared" si="4"/>
        <v>0</v>
      </c>
      <c r="BJ50" s="80">
        <f t="shared" si="5"/>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7"/>
        <v>0</v>
      </c>
      <c r="BH51" s="80">
        <f t="shared" si="3"/>
        <v>0</v>
      </c>
      <c r="BI51" s="80">
        <f t="shared" si="4"/>
        <v>0</v>
      </c>
      <c r="BJ51" s="80">
        <f t="shared" si="5"/>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3">G54+G55+G56+G57+G58+G59</f>
        <v>660485.85</v>
      </c>
      <c r="H53" s="70">
        <f t="shared" si="13"/>
        <v>1414949</v>
      </c>
      <c r="I53" s="70">
        <f t="shared" si="13"/>
        <v>2480829.15</v>
      </c>
      <c r="J53" s="70">
        <f t="shared" si="13"/>
        <v>7418070</v>
      </c>
      <c r="K53" s="70">
        <f t="shared" si="13"/>
        <v>3017950</v>
      </c>
      <c r="L53" s="70">
        <f t="shared" si="13"/>
        <v>4472753</v>
      </c>
      <c r="M53" s="70">
        <f t="shared" si="13"/>
        <v>17026806.600000001</v>
      </c>
      <c r="N53" s="70">
        <f t="shared" si="13"/>
        <v>1032168</v>
      </c>
      <c r="O53" s="70">
        <f t="shared" si="13"/>
        <v>0</v>
      </c>
      <c r="P53" s="70">
        <f t="shared" si="13"/>
        <v>5983187.71</v>
      </c>
      <c r="Q53" s="70">
        <f t="shared" si="13"/>
        <v>1021197.1200000001</v>
      </c>
      <c r="R53" s="70">
        <f t="shared" si="13"/>
        <v>173100</v>
      </c>
      <c r="S53" s="70">
        <f t="shared" si="13"/>
        <v>544800</v>
      </c>
      <c r="T53" s="70">
        <f t="shared" si="13"/>
        <v>385983.25</v>
      </c>
      <c r="U53" s="70">
        <f t="shared" si="13"/>
        <v>2713585.15</v>
      </c>
      <c r="V53" s="70">
        <f t="shared" si="13"/>
        <v>448000</v>
      </c>
      <c r="W53" s="70">
        <f t="shared" si="13"/>
        <v>320000</v>
      </c>
      <c r="X53" s="70">
        <f t="shared" si="13"/>
        <v>1111221</v>
      </c>
      <c r="Y53" s="70">
        <f t="shared" si="13"/>
        <v>0</v>
      </c>
      <c r="Z53" s="70">
        <f t="shared" si="13"/>
        <v>167860</v>
      </c>
      <c r="AA53" s="70">
        <f t="shared" si="13"/>
        <v>1126577.45</v>
      </c>
      <c r="AB53" s="70">
        <f t="shared" si="13"/>
        <v>180906.95</v>
      </c>
      <c r="AC53" s="70">
        <f t="shared" si="13"/>
        <v>350219.05</v>
      </c>
      <c r="AD53" s="70">
        <f t="shared" si="13"/>
        <v>1562918.2999999998</v>
      </c>
      <c r="AE53" s="70">
        <f t="shared" si="13"/>
        <v>1534290.85</v>
      </c>
      <c r="AF53" s="70">
        <f t="shared" si="13"/>
        <v>0</v>
      </c>
      <c r="AG53" s="70">
        <f t="shared" si="13"/>
        <v>560878.15</v>
      </c>
      <c r="AH53" s="70">
        <f t="shared" si="13"/>
        <v>2202232.7999999998</v>
      </c>
      <c r="AI53" s="70">
        <f t="shared" si="13"/>
        <v>600000</v>
      </c>
      <c r="AJ53" s="70">
        <f t="shared" si="13"/>
        <v>0</v>
      </c>
      <c r="AK53" s="70">
        <f t="shared" si="13"/>
        <v>893750</v>
      </c>
      <c r="AL53" s="70">
        <f t="shared" si="13"/>
        <v>420000</v>
      </c>
      <c r="AM53" s="70">
        <f t="shared" si="13"/>
        <v>1311484.3</v>
      </c>
      <c r="AN53" s="70">
        <f t="shared" si="13"/>
        <v>1833684</v>
      </c>
      <c r="AO53" s="70">
        <f t="shared" si="13"/>
        <v>631637.14</v>
      </c>
      <c r="AP53" s="70">
        <f t="shared" si="13"/>
        <v>9747285</v>
      </c>
      <c r="AQ53" s="70">
        <f t="shared" si="13"/>
        <v>698220</v>
      </c>
      <c r="AR53" s="70">
        <f t="shared" si="13"/>
        <v>294546</v>
      </c>
      <c r="AS53" s="70">
        <f t="shared" si="13"/>
        <v>7127649.3499999996</v>
      </c>
      <c r="AT53" s="70">
        <f t="shared" si="13"/>
        <v>554697</v>
      </c>
      <c r="AU53" s="70">
        <f t="shared" si="13"/>
        <v>723170</v>
      </c>
      <c r="AV53" s="70">
        <f t="shared" si="13"/>
        <v>136322.20000000001</v>
      </c>
      <c r="AW53" s="70">
        <f t="shared" si="13"/>
        <v>0</v>
      </c>
      <c r="AX53" s="70">
        <f t="shared" si="13"/>
        <v>1054581.05</v>
      </c>
      <c r="AY53" s="70">
        <f t="shared" si="13"/>
        <v>116236</v>
      </c>
      <c r="AZ53" s="70">
        <f t="shared" si="13"/>
        <v>207450</v>
      </c>
      <c r="BA53" s="70">
        <f t="shared" si="13"/>
        <v>1230521</v>
      </c>
      <c r="BB53" s="70">
        <f t="shared" si="13"/>
        <v>398785</v>
      </c>
      <c r="BC53" s="70">
        <f t="shared" si="13"/>
        <v>2547238.5999999996</v>
      </c>
      <c r="BD53" s="70">
        <f t="shared" si="13"/>
        <v>5340</v>
      </c>
      <c r="BE53" s="70">
        <f t="shared" si="13"/>
        <v>8969582.9000000004</v>
      </c>
      <c r="BF53" s="70">
        <f t="shared" si="13"/>
        <v>895335</v>
      </c>
      <c r="BG53" s="70">
        <f t="shared" si="7"/>
        <v>98570638.619999975</v>
      </c>
      <c r="BH53" s="70">
        <f t="shared" si="3"/>
        <v>50487240.529999994</v>
      </c>
      <c r="BI53" s="70">
        <f t="shared" si="4"/>
        <v>9179633.5500000007</v>
      </c>
      <c r="BJ53" s="70">
        <f t="shared" si="5"/>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7"/>
        <v>40877830.079999998</v>
      </c>
      <c r="BH54" s="80">
        <f t="shared" si="3"/>
        <v>20088635.939999998</v>
      </c>
      <c r="BI54" s="80">
        <f t="shared" si="4"/>
        <v>2029978.0999999999</v>
      </c>
      <c r="BJ54" s="80">
        <f t="shared" si="5"/>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7"/>
        <v>53619394.649999999</v>
      </c>
      <c r="BH55" s="80">
        <f t="shared" si="3"/>
        <v>27769357.400000002</v>
      </c>
      <c r="BI55" s="80">
        <f t="shared" si="4"/>
        <v>6561504.0999999996</v>
      </c>
      <c r="BJ55" s="80">
        <f t="shared" si="5"/>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7"/>
        <v>0</v>
      </c>
      <c r="BH56" s="80">
        <f t="shared" si="3"/>
        <v>0</v>
      </c>
      <c r="BI56" s="80">
        <f t="shared" si="4"/>
        <v>0</v>
      </c>
      <c r="BJ56" s="80">
        <f t="shared" si="5"/>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7"/>
        <v>4073413.8899999997</v>
      </c>
      <c r="BH57" s="80">
        <f t="shared" si="3"/>
        <v>2629247.19</v>
      </c>
      <c r="BI57" s="80">
        <f t="shared" si="4"/>
        <v>588151.35000000009</v>
      </c>
      <c r="BJ57" s="80">
        <f t="shared" si="5"/>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7"/>
        <v>0</v>
      </c>
      <c r="BH58" s="80">
        <f t="shared" si="3"/>
        <v>0</v>
      </c>
      <c r="BI58" s="80">
        <f t="shared" si="4"/>
        <v>0</v>
      </c>
      <c r="BJ58" s="80">
        <f t="shared" si="5"/>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7"/>
        <v>0</v>
      </c>
      <c r="BH59" s="80">
        <f t="shared" si="3"/>
        <v>0</v>
      </c>
      <c r="BI59" s="80">
        <f t="shared" si="4"/>
        <v>0</v>
      </c>
      <c r="BJ59" s="80">
        <f t="shared" si="5"/>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 t="shared" si="14"/>
        <v>0</v>
      </c>
      <c r="AH61" s="70">
        <f t="shared" si="14"/>
        <v>0</v>
      </c>
      <c r="AI61" s="70">
        <f t="shared" si="14"/>
        <v>0</v>
      </c>
      <c r="AJ61" s="70">
        <f t="shared" si="14"/>
        <v>0</v>
      </c>
      <c r="AK61" s="70">
        <f t="shared" si="14"/>
        <v>0</v>
      </c>
      <c r="AL61" s="70">
        <f t="shared" si="14"/>
        <v>0</v>
      </c>
      <c r="AM61" s="70">
        <f t="shared" si="14"/>
        <v>0</v>
      </c>
      <c r="AN61" s="70">
        <f t="shared" si="14"/>
        <v>0</v>
      </c>
      <c r="AO61" s="70">
        <f t="shared" si="14"/>
        <v>0</v>
      </c>
      <c r="AP61" s="70">
        <f t="shared" si="14"/>
        <v>0</v>
      </c>
      <c r="AQ61" s="70">
        <f t="shared" si="14"/>
        <v>0</v>
      </c>
      <c r="AR61" s="70">
        <f t="shared" si="14"/>
        <v>0</v>
      </c>
      <c r="AS61" s="70">
        <f t="shared" si="14"/>
        <v>0</v>
      </c>
      <c r="AT61" s="70">
        <f t="shared" si="14"/>
        <v>0</v>
      </c>
      <c r="AU61" s="70">
        <f t="shared" si="14"/>
        <v>0</v>
      </c>
      <c r="AV61" s="70">
        <f t="shared" si="14"/>
        <v>0</v>
      </c>
      <c r="AW61" s="70">
        <f t="shared" si="14"/>
        <v>0</v>
      </c>
      <c r="AX61" s="70">
        <f t="shared" si="14"/>
        <v>0</v>
      </c>
      <c r="AY61" s="70">
        <f t="shared" si="14"/>
        <v>0</v>
      </c>
      <c r="AZ61" s="70">
        <f t="shared" si="14"/>
        <v>0</v>
      </c>
      <c r="BA61" s="70">
        <f t="shared" si="14"/>
        <v>0</v>
      </c>
      <c r="BB61" s="70">
        <f t="shared" si="14"/>
        <v>0</v>
      </c>
      <c r="BC61" s="70">
        <f t="shared" si="14"/>
        <v>0</v>
      </c>
      <c r="BD61" s="70">
        <f t="shared" si="14"/>
        <v>0</v>
      </c>
      <c r="BE61" s="70">
        <f t="shared" si="14"/>
        <v>0</v>
      </c>
      <c r="BF61" s="70">
        <f t="shared" si="14"/>
        <v>0</v>
      </c>
      <c r="BG61" s="70">
        <f t="shared" si="7"/>
        <v>0</v>
      </c>
      <c r="BH61" s="70">
        <f t="shared" si="3"/>
        <v>0</v>
      </c>
      <c r="BI61" s="70">
        <f t="shared" si="4"/>
        <v>0</v>
      </c>
      <c r="BJ61" s="70">
        <f t="shared" si="5"/>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7"/>
        <v>0</v>
      </c>
      <c r="BH62" s="80">
        <f t="shared" si="3"/>
        <v>0</v>
      </c>
      <c r="BI62" s="80">
        <f t="shared" si="4"/>
        <v>0</v>
      </c>
      <c r="BJ62" s="80">
        <f t="shared" si="5"/>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7"/>
        <v>0</v>
      </c>
      <c r="BH63" s="80">
        <f t="shared" si="3"/>
        <v>0</v>
      </c>
      <c r="BI63" s="80">
        <f t="shared" si="4"/>
        <v>0</v>
      </c>
      <c r="BJ63" s="80">
        <f t="shared" si="5"/>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7"/>
        <v>0</v>
      </c>
      <c r="BH64" s="80">
        <f t="shared" si="3"/>
        <v>0</v>
      </c>
      <c r="BI64" s="80">
        <f t="shared" si="4"/>
        <v>0</v>
      </c>
      <c r="BJ64" s="80">
        <f t="shared" si="5"/>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7"/>
        <v>0</v>
      </c>
      <c r="BH65" s="80">
        <f t="shared" si="3"/>
        <v>0</v>
      </c>
      <c r="BI65" s="80">
        <f t="shared" si="4"/>
        <v>0</v>
      </c>
      <c r="BJ65" s="80">
        <f t="shared" si="5"/>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5">G68+G79+G85+G96+G107</f>
        <v>1824121.8399999999</v>
      </c>
      <c r="H67" s="77">
        <f t="shared" si="15"/>
        <v>2736553.0599999996</v>
      </c>
      <c r="I67" s="77">
        <f t="shared" si="15"/>
        <v>2637819.1999999997</v>
      </c>
      <c r="J67" s="77">
        <f t="shared" si="15"/>
        <v>20475712.490000002</v>
      </c>
      <c r="K67" s="77">
        <f t="shared" si="15"/>
        <v>23602692.329999998</v>
      </c>
      <c r="L67" s="77">
        <f t="shared" si="15"/>
        <v>10515554.360000001</v>
      </c>
      <c r="M67" s="77">
        <f t="shared" si="15"/>
        <v>126875591.09999999</v>
      </c>
      <c r="N67" s="77">
        <f t="shared" si="15"/>
        <v>7386815.2000000002</v>
      </c>
      <c r="O67" s="77">
        <f t="shared" si="15"/>
        <v>1249167.92</v>
      </c>
      <c r="P67" s="77">
        <f t="shared" si="15"/>
        <v>34850932.899999999</v>
      </c>
      <c r="Q67" s="77">
        <f t="shared" si="15"/>
        <v>2676262.19</v>
      </c>
      <c r="R67" s="77">
        <f t="shared" si="15"/>
        <v>259871.90000000002</v>
      </c>
      <c r="S67" s="77">
        <f t="shared" si="15"/>
        <v>2595505.3499999996</v>
      </c>
      <c r="T67" s="77">
        <f t="shared" si="15"/>
        <v>2995244.05</v>
      </c>
      <c r="U67" s="77">
        <f t="shared" si="15"/>
        <v>2777960.58</v>
      </c>
      <c r="V67" s="77">
        <f t="shared" si="15"/>
        <v>1074130</v>
      </c>
      <c r="W67" s="77">
        <f t="shared" si="15"/>
        <v>2685557.83</v>
      </c>
      <c r="X67" s="77">
        <f t="shared" si="15"/>
        <v>16516678.619999999</v>
      </c>
      <c r="Y67" s="77">
        <f t="shared" si="15"/>
        <v>2070694.95</v>
      </c>
      <c r="Z67" s="77">
        <f t="shared" si="15"/>
        <v>10443550.630000001</v>
      </c>
      <c r="AA67" s="77">
        <f t="shared" si="15"/>
        <v>8266344</v>
      </c>
      <c r="AB67" s="77">
        <f t="shared" si="15"/>
        <v>860665</v>
      </c>
      <c r="AC67" s="77">
        <f t="shared" si="15"/>
        <v>1432707.55</v>
      </c>
      <c r="AD67" s="77">
        <f t="shared" si="15"/>
        <v>3003187.7</v>
      </c>
      <c r="AE67" s="77">
        <f t="shared" si="15"/>
        <v>6308732.9199999999</v>
      </c>
      <c r="AF67" s="77">
        <f t="shared" si="15"/>
        <v>4277534.5</v>
      </c>
      <c r="AG67" s="77">
        <f t="shared" si="15"/>
        <v>4375593.75</v>
      </c>
      <c r="AH67" s="77">
        <f t="shared" si="15"/>
        <v>7895809.3899999997</v>
      </c>
      <c r="AI67" s="77">
        <f t="shared" si="15"/>
        <v>17618801.880000003</v>
      </c>
      <c r="AJ67" s="77">
        <f t="shared" si="15"/>
        <v>2021357.72</v>
      </c>
      <c r="AK67" s="77">
        <f t="shared" si="15"/>
        <v>1144823.8</v>
      </c>
      <c r="AL67" s="77">
        <f t="shared" si="15"/>
        <v>16899818.619999997</v>
      </c>
      <c r="AM67" s="77">
        <f t="shared" si="15"/>
        <v>10327268</v>
      </c>
      <c r="AN67" s="77">
        <f t="shared" si="15"/>
        <v>9936473.7599999979</v>
      </c>
      <c r="AO67" s="77">
        <f t="shared" si="15"/>
        <v>1285941.98</v>
      </c>
      <c r="AP67" s="77">
        <f t="shared" si="15"/>
        <v>16510979.25</v>
      </c>
      <c r="AQ67" s="77">
        <f t="shared" si="15"/>
        <v>4257388.4000000004</v>
      </c>
      <c r="AR67" s="77">
        <f t="shared" si="15"/>
        <v>3884766.68</v>
      </c>
      <c r="AS67" s="77">
        <f t="shared" si="15"/>
        <v>10706170.180000002</v>
      </c>
      <c r="AT67" s="77">
        <f t="shared" si="15"/>
        <v>5315004.45</v>
      </c>
      <c r="AU67" s="77">
        <f t="shared" si="15"/>
        <v>6785997.79</v>
      </c>
      <c r="AV67" s="77">
        <f t="shared" si="15"/>
        <v>2710423.5999999996</v>
      </c>
      <c r="AW67" s="77">
        <f t="shared" si="15"/>
        <v>15315653.25</v>
      </c>
      <c r="AX67" s="77">
        <f t="shared" si="15"/>
        <v>5531530.8299999991</v>
      </c>
      <c r="AY67" s="77">
        <f t="shared" si="15"/>
        <v>835660</v>
      </c>
      <c r="AZ67" s="77">
        <f t="shared" si="15"/>
        <v>1406493.3</v>
      </c>
      <c r="BA67" s="77">
        <f t="shared" si="15"/>
        <v>18728138.899999999</v>
      </c>
      <c r="BB67" s="77">
        <f t="shared" si="15"/>
        <v>2426562.4699999997</v>
      </c>
      <c r="BC67" s="77">
        <f t="shared" si="15"/>
        <v>10501551.530000001</v>
      </c>
      <c r="BD67" s="77">
        <f t="shared" si="15"/>
        <v>705324.45</v>
      </c>
      <c r="BE67" s="77">
        <f t="shared" si="15"/>
        <v>52839980.530000001</v>
      </c>
      <c r="BF67" s="77">
        <f t="shared" si="15"/>
        <v>3546507.7</v>
      </c>
      <c r="BG67" s="77">
        <f t="shared" si="7"/>
        <v>542886537.8900001</v>
      </c>
      <c r="BH67" s="77">
        <f t="shared" si="3"/>
        <v>272709098.43000001</v>
      </c>
      <c r="BI67" s="77">
        <f t="shared" si="4"/>
        <v>69719803.790000007</v>
      </c>
      <c r="BJ67" s="77">
        <f t="shared" si="5"/>
        <v>200457635.66999996</v>
      </c>
      <c r="BK67" s="41"/>
    </row>
    <row r="68" spans="2:63" x14ac:dyDescent="0.25">
      <c r="C68" s="69">
        <v>140</v>
      </c>
      <c r="D68" s="69"/>
      <c r="E68" s="69" t="s">
        <v>249</v>
      </c>
      <c r="F68" s="70">
        <f>F69+F70+F71+F72+F73+F74+F75+F76+F77</f>
        <v>8956624.5600000005</v>
      </c>
      <c r="G68" s="70">
        <f t="shared" ref="G68:BF68" si="16">G69+G70+G71+G72+G73+G74+G75+G76+G77</f>
        <v>1714274.89</v>
      </c>
      <c r="H68" s="70">
        <f t="shared" si="16"/>
        <v>2719088.26</v>
      </c>
      <c r="I68" s="70">
        <f t="shared" si="16"/>
        <v>2564066.5499999998</v>
      </c>
      <c r="J68" s="70">
        <f t="shared" si="16"/>
        <v>19948055.390000004</v>
      </c>
      <c r="K68" s="70">
        <f t="shared" si="16"/>
        <v>22820110.129999999</v>
      </c>
      <c r="L68" s="70">
        <f t="shared" si="16"/>
        <v>10106681.060000001</v>
      </c>
      <c r="M68" s="70">
        <f t="shared" si="16"/>
        <v>124585180.3</v>
      </c>
      <c r="N68" s="70">
        <f t="shared" si="16"/>
        <v>7124528.4000000004</v>
      </c>
      <c r="O68" s="70">
        <f t="shared" si="16"/>
        <v>1249167.92</v>
      </c>
      <c r="P68" s="70">
        <f t="shared" si="16"/>
        <v>34309216.649999999</v>
      </c>
      <c r="Q68" s="70">
        <f t="shared" si="16"/>
        <v>2676262.19</v>
      </c>
      <c r="R68" s="70">
        <f t="shared" si="16"/>
        <v>208134.90000000002</v>
      </c>
      <c r="S68" s="70">
        <f t="shared" si="16"/>
        <v>2595505.3499999996</v>
      </c>
      <c r="T68" s="70">
        <f t="shared" si="16"/>
        <v>2990244.05</v>
      </c>
      <c r="U68" s="70">
        <f t="shared" si="16"/>
        <v>2777959.58</v>
      </c>
      <c r="V68" s="70">
        <f t="shared" si="16"/>
        <v>969430</v>
      </c>
      <c r="W68" s="70">
        <f t="shared" si="16"/>
        <v>2536107.38</v>
      </c>
      <c r="X68" s="70">
        <f t="shared" si="16"/>
        <v>15912410.02</v>
      </c>
      <c r="Y68" s="70">
        <f t="shared" si="16"/>
        <v>2070683.95</v>
      </c>
      <c r="Z68" s="70">
        <f t="shared" si="16"/>
        <v>9862898.2300000004</v>
      </c>
      <c r="AA68" s="70">
        <f t="shared" si="16"/>
        <v>8266344</v>
      </c>
      <c r="AB68" s="70">
        <f t="shared" si="16"/>
        <v>692465</v>
      </c>
      <c r="AC68" s="70">
        <f t="shared" si="16"/>
        <v>1432707.55</v>
      </c>
      <c r="AD68" s="70">
        <f t="shared" si="16"/>
        <v>2624928</v>
      </c>
      <c r="AE68" s="70">
        <f t="shared" si="16"/>
        <v>6291981.8200000003</v>
      </c>
      <c r="AF68" s="70">
        <f t="shared" si="16"/>
        <v>4203524.5</v>
      </c>
      <c r="AG68" s="70">
        <f t="shared" si="16"/>
        <v>4225583.75</v>
      </c>
      <c r="AH68" s="70">
        <f t="shared" si="16"/>
        <v>7689351.54</v>
      </c>
      <c r="AI68" s="70">
        <f t="shared" si="16"/>
        <v>16931814.630000003</v>
      </c>
      <c r="AJ68" s="70">
        <f t="shared" si="16"/>
        <v>1751810.45</v>
      </c>
      <c r="AK68" s="70">
        <f t="shared" si="16"/>
        <v>1144823.8</v>
      </c>
      <c r="AL68" s="70">
        <f t="shared" si="16"/>
        <v>16538103.119999999</v>
      </c>
      <c r="AM68" s="70">
        <f t="shared" si="16"/>
        <v>10327268</v>
      </c>
      <c r="AN68" s="70">
        <f t="shared" si="16"/>
        <v>9321149.3099999987</v>
      </c>
      <c r="AO68" s="70">
        <f t="shared" si="16"/>
        <v>1283033.98</v>
      </c>
      <c r="AP68" s="70">
        <f t="shared" si="16"/>
        <v>16401195.449999999</v>
      </c>
      <c r="AQ68" s="70">
        <f t="shared" si="16"/>
        <v>3816036.8000000003</v>
      </c>
      <c r="AR68" s="70">
        <f t="shared" si="16"/>
        <v>3751762.68</v>
      </c>
      <c r="AS68" s="70">
        <f t="shared" si="16"/>
        <v>10208121.380000001</v>
      </c>
      <c r="AT68" s="70">
        <f t="shared" si="16"/>
        <v>5154132.6500000004</v>
      </c>
      <c r="AU68" s="70">
        <f t="shared" si="16"/>
        <v>6491007.04</v>
      </c>
      <c r="AV68" s="70">
        <f t="shared" si="16"/>
        <v>2686265.3</v>
      </c>
      <c r="AW68" s="70">
        <f t="shared" si="16"/>
        <v>14924180.6</v>
      </c>
      <c r="AX68" s="70">
        <f t="shared" si="16"/>
        <v>5463519.6199999992</v>
      </c>
      <c r="AY68" s="70">
        <f t="shared" si="16"/>
        <v>835660</v>
      </c>
      <c r="AZ68" s="70">
        <f t="shared" si="16"/>
        <v>1375830</v>
      </c>
      <c r="BA68" s="70">
        <f t="shared" si="16"/>
        <v>18021959.199999999</v>
      </c>
      <c r="BB68" s="70">
        <f t="shared" si="16"/>
        <v>2250722.4699999997</v>
      </c>
      <c r="BC68" s="70">
        <f t="shared" si="16"/>
        <v>10029804.640000001</v>
      </c>
      <c r="BD68" s="70">
        <f t="shared" si="16"/>
        <v>705324.45</v>
      </c>
      <c r="BE68" s="70">
        <f t="shared" si="16"/>
        <v>47584068.810000002</v>
      </c>
      <c r="BF68" s="70">
        <f t="shared" si="16"/>
        <v>3487453</v>
      </c>
      <c r="BG68" s="70">
        <f t="shared" si="7"/>
        <v>524608563.30000013</v>
      </c>
      <c r="BH68" s="70">
        <f t="shared" si="3"/>
        <v>266763047.58000001</v>
      </c>
      <c r="BI68" s="70">
        <f t="shared" si="4"/>
        <v>67188917.219999999</v>
      </c>
      <c r="BJ68" s="70">
        <f t="shared" si="5"/>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7"/>
        <v>27617297.289999995</v>
      </c>
      <c r="BH69" s="80">
        <f t="shared" ref="BH69:BH134" si="17">SUM(F69:X69)</f>
        <v>9259807.0299999993</v>
      </c>
      <c r="BI69" s="80">
        <f t="shared" ref="BI69:BI134" si="18">SUM(Y69:AK69)</f>
        <v>12400927.01</v>
      </c>
      <c r="BJ69" s="80">
        <f t="shared" ref="BJ69:BJ134" si="19">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20">SUM(F70:BF70)</f>
        <v>105085531.52</v>
      </c>
      <c r="BH70" s="80">
        <f t="shared" si="17"/>
        <v>49937723.689999998</v>
      </c>
      <c r="BI70" s="80">
        <f t="shared" si="18"/>
        <v>10819331.129999999</v>
      </c>
      <c r="BJ70" s="80">
        <f t="shared" si="19"/>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20"/>
        <v>3634312.4399999995</v>
      </c>
      <c r="BH71" s="80">
        <f t="shared" si="17"/>
        <v>2384034.7399999998</v>
      </c>
      <c r="BI71" s="80">
        <f t="shared" si="18"/>
        <v>27453</v>
      </c>
      <c r="BJ71" s="80">
        <f t="shared" si="19"/>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20"/>
        <v>107360987.94</v>
      </c>
      <c r="BH72" s="80">
        <f t="shared" si="17"/>
        <v>64263096.009999998</v>
      </c>
      <c r="BI72" s="80">
        <f t="shared" si="18"/>
        <v>9511786.1099999994</v>
      </c>
      <c r="BJ72" s="80">
        <f t="shared" si="19"/>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20"/>
        <v>200220904.15000001</v>
      </c>
      <c r="BH73" s="80">
        <f t="shared" si="17"/>
        <v>119216267.48999999</v>
      </c>
      <c r="BI73" s="80">
        <f t="shared" si="18"/>
        <v>17223078.379999999</v>
      </c>
      <c r="BJ73" s="80">
        <f t="shared" si="19"/>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20"/>
        <v>32362343.900000002</v>
      </c>
      <c r="BH74" s="80">
        <f t="shared" si="17"/>
        <v>614925</v>
      </c>
      <c r="BI74" s="80">
        <f t="shared" si="18"/>
        <v>7949540.9499999993</v>
      </c>
      <c r="BJ74" s="80">
        <f t="shared" si="19"/>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20"/>
        <v>7788168.0099999998</v>
      </c>
      <c r="BH75" s="80">
        <f t="shared" si="17"/>
        <v>5341932.8</v>
      </c>
      <c r="BI75" s="80">
        <f t="shared" si="18"/>
        <v>863562.10000000009</v>
      </c>
      <c r="BJ75" s="80">
        <f t="shared" si="19"/>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20"/>
        <v>35451555.399999999</v>
      </c>
      <c r="BH76" s="80">
        <f t="shared" si="17"/>
        <v>15745260.819999998</v>
      </c>
      <c r="BI76" s="80">
        <f t="shared" si="18"/>
        <v>8393238.540000001</v>
      </c>
      <c r="BJ76" s="80">
        <f t="shared" si="19"/>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20"/>
        <v>5087462.6500000004</v>
      </c>
      <c r="BH77" s="80">
        <f t="shared" si="17"/>
        <v>0</v>
      </c>
      <c r="BI77" s="80">
        <f t="shared" si="18"/>
        <v>0</v>
      </c>
      <c r="BJ77" s="80">
        <f t="shared" si="19"/>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1">F80+F81+F82+F83</f>
        <v>0</v>
      </c>
      <c r="G79" s="70">
        <f t="shared" si="21"/>
        <v>109846.95</v>
      </c>
      <c r="H79" s="70">
        <f t="shared" si="21"/>
        <v>17464.8</v>
      </c>
      <c r="I79" s="70">
        <f t="shared" si="21"/>
        <v>73752.649999999994</v>
      </c>
      <c r="J79" s="70">
        <f t="shared" si="21"/>
        <v>461928.9</v>
      </c>
      <c r="K79" s="70">
        <f t="shared" si="21"/>
        <v>13136.2</v>
      </c>
      <c r="L79" s="70">
        <f t="shared" si="21"/>
        <v>253129</v>
      </c>
      <c r="M79" s="70">
        <f t="shared" si="21"/>
        <v>916895.8</v>
      </c>
      <c r="N79" s="70">
        <f t="shared" si="21"/>
        <v>26818.799999999999</v>
      </c>
      <c r="O79" s="70">
        <f t="shared" si="21"/>
        <v>0</v>
      </c>
      <c r="P79" s="70">
        <f>P80+P81+P82+P83</f>
        <v>313234.64999999997</v>
      </c>
      <c r="Q79" s="70">
        <f t="shared" ref="Q79:BF79" si="22">Q80+Q81+Q82+Q83</f>
        <v>0</v>
      </c>
      <c r="R79" s="70">
        <f t="shared" si="22"/>
        <v>39512</v>
      </c>
      <c r="S79" s="70">
        <f t="shared" si="22"/>
        <v>0</v>
      </c>
      <c r="T79" s="70">
        <f t="shared" si="22"/>
        <v>5000</v>
      </c>
      <c r="U79" s="70">
        <f t="shared" si="22"/>
        <v>0</v>
      </c>
      <c r="V79" s="70">
        <f t="shared" si="22"/>
        <v>39200</v>
      </c>
      <c r="W79" s="70">
        <f t="shared" si="22"/>
        <v>149450.45000000001</v>
      </c>
      <c r="X79" s="70">
        <f t="shared" si="22"/>
        <v>378741.5</v>
      </c>
      <c r="Y79" s="70">
        <f t="shared" si="22"/>
        <v>0</v>
      </c>
      <c r="Z79" s="70">
        <f t="shared" si="22"/>
        <v>85889.4</v>
      </c>
      <c r="AA79" s="70">
        <f t="shared" si="22"/>
        <v>0</v>
      </c>
      <c r="AB79" s="70">
        <f t="shared" si="22"/>
        <v>0</v>
      </c>
      <c r="AC79" s="70">
        <f t="shared" si="22"/>
        <v>0</v>
      </c>
      <c r="AD79" s="70">
        <f t="shared" si="22"/>
        <v>212109.7</v>
      </c>
      <c r="AE79" s="70">
        <f t="shared" si="22"/>
        <v>16751.099999999999</v>
      </c>
      <c r="AF79" s="70">
        <f t="shared" si="22"/>
        <v>74000</v>
      </c>
      <c r="AG79" s="70">
        <f t="shared" si="22"/>
        <v>150000</v>
      </c>
      <c r="AH79" s="70">
        <f t="shared" si="22"/>
        <v>206457.85</v>
      </c>
      <c r="AI79" s="70">
        <f t="shared" si="22"/>
        <v>171988.75</v>
      </c>
      <c r="AJ79" s="70">
        <f t="shared" si="22"/>
        <v>14241</v>
      </c>
      <c r="AK79" s="70">
        <f t="shared" si="22"/>
        <v>0</v>
      </c>
      <c r="AL79" s="70">
        <f t="shared" si="22"/>
        <v>361715.5</v>
      </c>
      <c r="AM79" s="70">
        <f t="shared" si="22"/>
        <v>0</v>
      </c>
      <c r="AN79" s="70">
        <f t="shared" si="22"/>
        <v>510757.45</v>
      </c>
      <c r="AO79" s="70">
        <f t="shared" si="22"/>
        <v>0</v>
      </c>
      <c r="AP79" s="70">
        <f t="shared" si="22"/>
        <v>72580.800000000003</v>
      </c>
      <c r="AQ79" s="70">
        <f t="shared" si="22"/>
        <v>395329.6</v>
      </c>
      <c r="AR79" s="70">
        <f t="shared" si="22"/>
        <v>0</v>
      </c>
      <c r="AS79" s="70">
        <f t="shared" si="22"/>
        <v>398043.80000000005</v>
      </c>
      <c r="AT79" s="70">
        <f t="shared" si="22"/>
        <v>34969.800000000003</v>
      </c>
      <c r="AU79" s="70">
        <f t="shared" si="22"/>
        <v>67324.350000000006</v>
      </c>
      <c r="AV79" s="70">
        <f t="shared" si="22"/>
        <v>21605.3</v>
      </c>
      <c r="AW79" s="70">
        <f t="shared" si="22"/>
        <v>72272.649999999994</v>
      </c>
      <c r="AX79" s="70">
        <f t="shared" si="22"/>
        <v>58011.21</v>
      </c>
      <c r="AY79" s="70">
        <f t="shared" si="22"/>
        <v>0</v>
      </c>
      <c r="AZ79" s="70">
        <f t="shared" si="22"/>
        <v>30663.3</v>
      </c>
      <c r="BA79" s="70">
        <f t="shared" si="22"/>
        <v>509174.7</v>
      </c>
      <c r="BB79" s="70">
        <f t="shared" si="22"/>
        <v>162340</v>
      </c>
      <c r="BC79" s="70">
        <f t="shared" si="22"/>
        <v>390185.89</v>
      </c>
      <c r="BD79" s="70">
        <f t="shared" si="22"/>
        <v>0</v>
      </c>
      <c r="BE79" s="70">
        <f t="shared" si="22"/>
        <v>670459.23</v>
      </c>
      <c r="BF79" s="70">
        <f t="shared" si="22"/>
        <v>36554.699999999997</v>
      </c>
      <c r="BG79" s="70">
        <f t="shared" si="20"/>
        <v>7521537.7799999984</v>
      </c>
      <c r="BH79" s="70">
        <f t="shared" si="17"/>
        <v>2798111.7</v>
      </c>
      <c r="BI79" s="70">
        <f t="shared" si="18"/>
        <v>931437.79999999993</v>
      </c>
      <c r="BJ79" s="70">
        <f t="shared" si="19"/>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20"/>
        <v>607615.85000000009</v>
      </c>
      <c r="BH80" s="80">
        <f t="shared" si="17"/>
        <v>518283.95</v>
      </c>
      <c r="BI80" s="80">
        <f t="shared" si="18"/>
        <v>16751.099999999999</v>
      </c>
      <c r="BJ80" s="80">
        <f t="shared" si="19"/>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20"/>
        <v>0</v>
      </c>
      <c r="BH81" s="80">
        <f t="shared" si="17"/>
        <v>0</v>
      </c>
      <c r="BI81" s="80">
        <f t="shared" si="18"/>
        <v>0</v>
      </c>
      <c r="BJ81" s="80">
        <f t="shared" si="19"/>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20"/>
        <v>1917546.22</v>
      </c>
      <c r="BH82" s="80">
        <f t="shared" si="17"/>
        <v>326068.59999999998</v>
      </c>
      <c r="BI82" s="80">
        <f t="shared" si="18"/>
        <v>212109.7</v>
      </c>
      <c r="BJ82" s="80">
        <f t="shared" si="19"/>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20"/>
        <v>4996375.709999999</v>
      </c>
      <c r="BH83" s="80">
        <f t="shared" si="17"/>
        <v>1953759.15</v>
      </c>
      <c r="BI83" s="80">
        <f t="shared" si="18"/>
        <v>702577</v>
      </c>
      <c r="BJ83" s="80">
        <f t="shared" si="19"/>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3">G86+G87+G88+G89+G90+G91+G92+G93+G94</f>
        <v>0</v>
      </c>
      <c r="H85" s="70">
        <f t="shared" si="23"/>
        <v>0</v>
      </c>
      <c r="I85" s="70">
        <f t="shared" si="23"/>
        <v>0</v>
      </c>
      <c r="J85" s="70">
        <f t="shared" si="23"/>
        <v>0</v>
      </c>
      <c r="K85" s="70">
        <f t="shared" si="23"/>
        <v>0</v>
      </c>
      <c r="L85" s="70">
        <f t="shared" si="23"/>
        <v>27900</v>
      </c>
      <c r="M85" s="70">
        <f t="shared" si="23"/>
        <v>1093520</v>
      </c>
      <c r="N85" s="70">
        <f t="shared" si="23"/>
        <v>130000</v>
      </c>
      <c r="O85" s="70">
        <f t="shared" si="23"/>
        <v>0</v>
      </c>
      <c r="P85" s="70">
        <f t="shared" si="23"/>
        <v>43772</v>
      </c>
      <c r="Q85" s="70">
        <f t="shared" si="23"/>
        <v>0</v>
      </c>
      <c r="R85" s="70">
        <f t="shared" si="23"/>
        <v>0</v>
      </c>
      <c r="S85" s="70">
        <f t="shared" si="23"/>
        <v>0</v>
      </c>
      <c r="T85" s="70">
        <f t="shared" si="23"/>
        <v>0</v>
      </c>
      <c r="U85" s="70">
        <f t="shared" si="23"/>
        <v>1</v>
      </c>
      <c r="V85" s="70">
        <f t="shared" si="23"/>
        <v>65500</v>
      </c>
      <c r="W85" s="70">
        <f t="shared" si="23"/>
        <v>0</v>
      </c>
      <c r="X85" s="70">
        <f t="shared" si="23"/>
        <v>0</v>
      </c>
      <c r="Y85" s="70">
        <f t="shared" si="23"/>
        <v>0</v>
      </c>
      <c r="Z85" s="70">
        <f t="shared" si="23"/>
        <v>0</v>
      </c>
      <c r="AA85" s="70">
        <f t="shared" si="23"/>
        <v>0</v>
      </c>
      <c r="AB85" s="70">
        <f t="shared" si="23"/>
        <v>0</v>
      </c>
      <c r="AC85" s="70">
        <f t="shared" si="23"/>
        <v>0</v>
      </c>
      <c r="AD85" s="70">
        <f t="shared" si="23"/>
        <v>18000</v>
      </c>
      <c r="AE85" s="70">
        <f t="shared" si="23"/>
        <v>0</v>
      </c>
      <c r="AF85" s="70">
        <f t="shared" si="23"/>
        <v>0</v>
      </c>
      <c r="AG85" s="70">
        <f t="shared" si="23"/>
        <v>0</v>
      </c>
      <c r="AH85" s="70">
        <f t="shared" si="23"/>
        <v>0</v>
      </c>
      <c r="AI85" s="70">
        <f t="shared" si="23"/>
        <v>326316.59999999998</v>
      </c>
      <c r="AJ85" s="70">
        <f t="shared" si="23"/>
        <v>0</v>
      </c>
      <c r="AK85" s="70">
        <f t="shared" si="23"/>
        <v>0</v>
      </c>
      <c r="AL85" s="70">
        <f t="shared" si="23"/>
        <v>0</v>
      </c>
      <c r="AM85" s="70">
        <f t="shared" si="23"/>
        <v>0</v>
      </c>
      <c r="AN85" s="70">
        <f t="shared" si="23"/>
        <v>100800</v>
      </c>
      <c r="AO85" s="70">
        <f t="shared" si="23"/>
        <v>0</v>
      </c>
      <c r="AP85" s="70">
        <f t="shared" si="23"/>
        <v>37200</v>
      </c>
      <c r="AQ85" s="70">
        <f t="shared" si="23"/>
        <v>42600</v>
      </c>
      <c r="AR85" s="70">
        <f t="shared" si="23"/>
        <v>133000</v>
      </c>
      <c r="AS85" s="70">
        <f t="shared" si="23"/>
        <v>0</v>
      </c>
      <c r="AT85" s="70">
        <f t="shared" si="23"/>
        <v>125400</v>
      </c>
      <c r="AU85" s="70">
        <f t="shared" si="23"/>
        <v>227661.4</v>
      </c>
      <c r="AV85" s="70">
        <f t="shared" si="23"/>
        <v>0</v>
      </c>
      <c r="AW85" s="70">
        <f t="shared" si="23"/>
        <v>19200</v>
      </c>
      <c r="AX85" s="70">
        <f t="shared" si="23"/>
        <v>0</v>
      </c>
      <c r="AY85" s="70">
        <f t="shared" si="23"/>
        <v>0</v>
      </c>
      <c r="AZ85" s="70">
        <f t="shared" si="23"/>
        <v>0</v>
      </c>
      <c r="BA85" s="70">
        <f t="shared" si="23"/>
        <v>0</v>
      </c>
      <c r="BB85" s="70">
        <f t="shared" si="23"/>
        <v>13500</v>
      </c>
      <c r="BC85" s="70">
        <f t="shared" si="23"/>
        <v>80400</v>
      </c>
      <c r="BD85" s="70">
        <f t="shared" si="23"/>
        <v>0</v>
      </c>
      <c r="BE85" s="70">
        <f t="shared" si="23"/>
        <v>384000</v>
      </c>
      <c r="BF85" s="70">
        <f t="shared" si="23"/>
        <v>22500</v>
      </c>
      <c r="BG85" s="70">
        <f t="shared" si="20"/>
        <v>2891271</v>
      </c>
      <c r="BH85" s="70">
        <f t="shared" si="17"/>
        <v>1360693</v>
      </c>
      <c r="BI85" s="70">
        <f t="shared" si="18"/>
        <v>344316.6</v>
      </c>
      <c r="BJ85" s="70">
        <f t="shared" si="19"/>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20"/>
        <v>0</v>
      </c>
      <c r="BH86" s="80">
        <f t="shared" si="17"/>
        <v>0</v>
      </c>
      <c r="BI86" s="80">
        <f t="shared" si="18"/>
        <v>0</v>
      </c>
      <c r="BJ86" s="80">
        <f t="shared" si="19"/>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20"/>
        <v>0</v>
      </c>
      <c r="BH87" s="80">
        <f t="shared" si="17"/>
        <v>0</v>
      </c>
      <c r="BI87" s="80">
        <f t="shared" si="18"/>
        <v>0</v>
      </c>
      <c r="BJ87" s="80">
        <f t="shared" si="19"/>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20"/>
        <v>2217881</v>
      </c>
      <c r="BH88" s="80">
        <f t="shared" si="17"/>
        <v>1179181</v>
      </c>
      <c r="BI88" s="80">
        <f t="shared" si="18"/>
        <v>18000</v>
      </c>
      <c r="BJ88" s="80">
        <f t="shared" si="19"/>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20"/>
        <v>0</v>
      </c>
      <c r="BH89" s="80">
        <f t="shared" si="17"/>
        <v>0</v>
      </c>
      <c r="BI89" s="80">
        <f t="shared" si="18"/>
        <v>0</v>
      </c>
      <c r="BJ89" s="80">
        <f t="shared" si="19"/>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20"/>
        <v>0</v>
      </c>
      <c r="BH90" s="80">
        <f t="shared" si="17"/>
        <v>0</v>
      </c>
      <c r="BI90" s="80">
        <f t="shared" si="18"/>
        <v>0</v>
      </c>
      <c r="BJ90" s="80">
        <f t="shared" si="19"/>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20"/>
        <v>487816.6</v>
      </c>
      <c r="BH91" s="80">
        <f t="shared" si="17"/>
        <v>161500</v>
      </c>
      <c r="BI91" s="80">
        <f t="shared" si="18"/>
        <v>326316.59999999998</v>
      </c>
      <c r="BJ91" s="80">
        <f t="shared" si="19"/>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20"/>
        <v>185573.4</v>
      </c>
      <c r="BH92" s="80">
        <f t="shared" si="17"/>
        <v>20012</v>
      </c>
      <c r="BI92" s="80">
        <f t="shared" si="18"/>
        <v>0</v>
      </c>
      <c r="BJ92" s="80">
        <f t="shared" si="19"/>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20"/>
        <v>0</v>
      </c>
      <c r="BH93" s="80">
        <f t="shared" si="17"/>
        <v>0</v>
      </c>
      <c r="BI93" s="80">
        <f t="shared" si="18"/>
        <v>0</v>
      </c>
      <c r="BJ93" s="80">
        <f t="shared" si="19"/>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20"/>
        <v>0</v>
      </c>
      <c r="BH94" s="80">
        <f t="shared" si="17"/>
        <v>0</v>
      </c>
      <c r="BI94" s="80">
        <f t="shared" si="18"/>
        <v>0</v>
      </c>
      <c r="BJ94" s="80">
        <f t="shared" si="19"/>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4">G97+G98+G99+G100+G101+G102+G103+G104+G105</f>
        <v>0</v>
      </c>
      <c r="H96" s="70">
        <f t="shared" si="24"/>
        <v>0</v>
      </c>
      <c r="I96" s="70">
        <f t="shared" si="24"/>
        <v>0</v>
      </c>
      <c r="J96" s="70">
        <f t="shared" si="24"/>
        <v>0</v>
      </c>
      <c r="K96" s="70">
        <f t="shared" si="24"/>
        <v>45603</v>
      </c>
      <c r="L96" s="70">
        <f t="shared" si="24"/>
        <v>0</v>
      </c>
      <c r="M96" s="70">
        <f t="shared" si="24"/>
        <v>2</v>
      </c>
      <c r="N96" s="70">
        <f t="shared" si="24"/>
        <v>78600</v>
      </c>
      <c r="O96" s="70">
        <f t="shared" si="24"/>
        <v>0</v>
      </c>
      <c r="P96" s="70">
        <f t="shared" si="24"/>
        <v>16020</v>
      </c>
      <c r="Q96" s="70">
        <f t="shared" si="24"/>
        <v>0</v>
      </c>
      <c r="R96" s="70">
        <f t="shared" si="24"/>
        <v>10088</v>
      </c>
      <c r="S96" s="70">
        <f t="shared" si="24"/>
        <v>0</v>
      </c>
      <c r="T96" s="70">
        <f t="shared" si="24"/>
        <v>0</v>
      </c>
      <c r="U96" s="70">
        <f t="shared" si="24"/>
        <v>0</v>
      </c>
      <c r="V96" s="70">
        <f t="shared" si="24"/>
        <v>0</v>
      </c>
      <c r="W96" s="70">
        <f t="shared" si="24"/>
        <v>0</v>
      </c>
      <c r="X96" s="70">
        <f t="shared" si="24"/>
        <v>95000</v>
      </c>
      <c r="Y96" s="70">
        <f t="shared" si="24"/>
        <v>11</v>
      </c>
      <c r="Z96" s="70">
        <f t="shared" si="24"/>
        <v>474763</v>
      </c>
      <c r="AA96" s="70">
        <f t="shared" si="24"/>
        <v>0</v>
      </c>
      <c r="AB96" s="70">
        <f t="shared" si="24"/>
        <v>0</v>
      </c>
      <c r="AC96" s="70">
        <f t="shared" si="24"/>
        <v>0</v>
      </c>
      <c r="AD96" s="70">
        <f t="shared" si="24"/>
        <v>148150</v>
      </c>
      <c r="AE96" s="70">
        <f t="shared" si="24"/>
        <v>0</v>
      </c>
      <c r="AF96" s="70">
        <f t="shared" si="24"/>
        <v>10</v>
      </c>
      <c r="AG96" s="70">
        <f t="shared" si="24"/>
        <v>10</v>
      </c>
      <c r="AH96" s="70">
        <f t="shared" si="24"/>
        <v>0</v>
      </c>
      <c r="AI96" s="70">
        <f t="shared" si="24"/>
        <v>188681.9</v>
      </c>
      <c r="AJ96" s="70">
        <f t="shared" si="24"/>
        <v>7434</v>
      </c>
      <c r="AK96" s="70">
        <f t="shared" si="24"/>
        <v>0</v>
      </c>
      <c r="AL96" s="70">
        <f t="shared" si="24"/>
        <v>0</v>
      </c>
      <c r="AM96" s="70">
        <f t="shared" si="24"/>
        <v>0</v>
      </c>
      <c r="AN96" s="70">
        <f t="shared" si="24"/>
        <v>3767</v>
      </c>
      <c r="AO96" s="70">
        <f t="shared" si="24"/>
        <v>2908</v>
      </c>
      <c r="AP96" s="70">
        <f t="shared" si="24"/>
        <v>3</v>
      </c>
      <c r="AQ96" s="70">
        <f t="shared" si="24"/>
        <v>3422</v>
      </c>
      <c r="AR96" s="70">
        <f t="shared" si="24"/>
        <v>4</v>
      </c>
      <c r="AS96" s="70">
        <f t="shared" si="24"/>
        <v>100005</v>
      </c>
      <c r="AT96" s="70">
        <f t="shared" si="24"/>
        <v>502</v>
      </c>
      <c r="AU96" s="70">
        <f t="shared" si="24"/>
        <v>4</v>
      </c>
      <c r="AV96" s="70">
        <f t="shared" si="24"/>
        <v>2553</v>
      </c>
      <c r="AW96" s="70">
        <f t="shared" si="24"/>
        <v>300000</v>
      </c>
      <c r="AX96" s="70">
        <f t="shared" si="24"/>
        <v>10000</v>
      </c>
      <c r="AY96" s="70">
        <f t="shared" si="24"/>
        <v>0</v>
      </c>
      <c r="AZ96" s="70">
        <f t="shared" si="24"/>
        <v>0</v>
      </c>
      <c r="BA96" s="70">
        <f t="shared" si="24"/>
        <v>197005</v>
      </c>
      <c r="BB96" s="70">
        <f t="shared" si="24"/>
        <v>0</v>
      </c>
      <c r="BC96" s="70">
        <f t="shared" si="24"/>
        <v>1161</v>
      </c>
      <c r="BD96" s="70">
        <f t="shared" si="24"/>
        <v>0</v>
      </c>
      <c r="BE96" s="70">
        <f t="shared" si="24"/>
        <v>3205052.49</v>
      </c>
      <c r="BF96" s="70">
        <f t="shared" si="24"/>
        <v>0</v>
      </c>
      <c r="BG96" s="70">
        <f t="shared" si="20"/>
        <v>4890759.3900000006</v>
      </c>
      <c r="BH96" s="70">
        <f t="shared" si="17"/>
        <v>245313</v>
      </c>
      <c r="BI96" s="70">
        <f t="shared" si="18"/>
        <v>819059.9</v>
      </c>
      <c r="BJ96" s="70">
        <f t="shared" si="19"/>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20"/>
        <v>4</v>
      </c>
      <c r="BH97" s="80">
        <f t="shared" si="17"/>
        <v>0</v>
      </c>
      <c r="BI97" s="80">
        <f t="shared" si="18"/>
        <v>0</v>
      </c>
      <c r="BJ97" s="80">
        <f t="shared" si="19"/>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20"/>
        <v>0</v>
      </c>
      <c r="BH98" s="80">
        <f t="shared" si="17"/>
        <v>0</v>
      </c>
      <c r="BI98" s="80">
        <f t="shared" si="18"/>
        <v>0</v>
      </c>
      <c r="BJ98" s="80">
        <f t="shared" si="19"/>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20"/>
        <v>480091</v>
      </c>
      <c r="BH99" s="80">
        <f t="shared" si="17"/>
        <v>180088</v>
      </c>
      <c r="BI99" s="80">
        <f t="shared" si="18"/>
        <v>0</v>
      </c>
      <c r="BJ99" s="80">
        <f t="shared" si="19"/>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20"/>
        <v>0</v>
      </c>
      <c r="BH100" s="80">
        <f t="shared" si="17"/>
        <v>0</v>
      </c>
      <c r="BI100" s="80">
        <f t="shared" si="18"/>
        <v>0</v>
      </c>
      <c r="BJ100" s="80">
        <f t="shared" si="19"/>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20"/>
        <v>313600</v>
      </c>
      <c r="BH101" s="80">
        <f t="shared" si="17"/>
        <v>13600</v>
      </c>
      <c r="BI101" s="80">
        <f t="shared" si="18"/>
        <v>0</v>
      </c>
      <c r="BJ101" s="80">
        <f t="shared" si="19"/>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20"/>
        <v>3756959.39</v>
      </c>
      <c r="BH102" s="80">
        <f t="shared" si="17"/>
        <v>51625</v>
      </c>
      <c r="BI102" s="80">
        <f t="shared" si="18"/>
        <v>675959.9</v>
      </c>
      <c r="BJ102" s="80">
        <f t="shared" si="19"/>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20"/>
        <v>340105</v>
      </c>
      <c r="BH103" s="80">
        <f t="shared" si="17"/>
        <v>0</v>
      </c>
      <c r="BI103" s="80">
        <f t="shared" si="18"/>
        <v>143100</v>
      </c>
      <c r="BJ103" s="80">
        <f t="shared" si="19"/>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20"/>
        <v>0</v>
      </c>
      <c r="BH104" s="80">
        <f t="shared" si="17"/>
        <v>0</v>
      </c>
      <c r="BI104" s="80">
        <f t="shared" si="18"/>
        <v>0</v>
      </c>
      <c r="BJ104" s="80">
        <f t="shared" si="19"/>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20"/>
        <v>0</v>
      </c>
      <c r="BH105" s="80">
        <f t="shared" si="17"/>
        <v>0</v>
      </c>
      <c r="BI105" s="80">
        <f t="shared" si="18"/>
        <v>0</v>
      </c>
      <c r="BJ105" s="80">
        <f t="shared" si="19"/>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5">G108+G109+G110+G111+G112+G113+G114+G115+G116+G117</f>
        <v>0</v>
      </c>
      <c r="H107" s="70">
        <f t="shared" si="25"/>
        <v>0</v>
      </c>
      <c r="I107" s="70">
        <f t="shared" si="25"/>
        <v>0</v>
      </c>
      <c r="J107" s="70">
        <f t="shared" si="25"/>
        <v>65728.2</v>
      </c>
      <c r="K107" s="70">
        <f t="shared" si="25"/>
        <v>723843</v>
      </c>
      <c r="L107" s="70">
        <f t="shared" si="25"/>
        <v>127844.3</v>
      </c>
      <c r="M107" s="70">
        <f t="shared" si="25"/>
        <v>279993</v>
      </c>
      <c r="N107" s="70">
        <f t="shared" si="25"/>
        <v>26868</v>
      </c>
      <c r="O107" s="70">
        <f t="shared" si="25"/>
        <v>0</v>
      </c>
      <c r="P107" s="70">
        <f t="shared" si="25"/>
        <v>168689.6</v>
      </c>
      <c r="Q107" s="70">
        <f t="shared" si="25"/>
        <v>0</v>
      </c>
      <c r="R107" s="70">
        <f t="shared" si="25"/>
        <v>2137</v>
      </c>
      <c r="S107" s="70">
        <f t="shared" si="25"/>
        <v>0</v>
      </c>
      <c r="T107" s="70">
        <f t="shared" si="25"/>
        <v>0</v>
      </c>
      <c r="U107" s="70">
        <f t="shared" si="25"/>
        <v>0</v>
      </c>
      <c r="V107" s="70">
        <f t="shared" si="25"/>
        <v>0</v>
      </c>
      <c r="W107" s="70">
        <f t="shared" si="25"/>
        <v>0</v>
      </c>
      <c r="X107" s="70">
        <f t="shared" si="25"/>
        <v>130527.1</v>
      </c>
      <c r="Y107" s="70">
        <f t="shared" si="25"/>
        <v>0</v>
      </c>
      <c r="Z107" s="70">
        <f t="shared" si="25"/>
        <v>20000</v>
      </c>
      <c r="AA107" s="70">
        <f t="shared" si="25"/>
        <v>0</v>
      </c>
      <c r="AB107" s="70">
        <f t="shared" si="25"/>
        <v>168200</v>
      </c>
      <c r="AC107" s="70">
        <f t="shared" si="25"/>
        <v>0</v>
      </c>
      <c r="AD107" s="70">
        <f t="shared" si="25"/>
        <v>0</v>
      </c>
      <c r="AE107" s="70">
        <f t="shared" si="25"/>
        <v>0</v>
      </c>
      <c r="AF107" s="70">
        <f t="shared" si="25"/>
        <v>0</v>
      </c>
      <c r="AG107" s="70">
        <f t="shared" si="25"/>
        <v>0</v>
      </c>
      <c r="AH107" s="70">
        <f t="shared" si="25"/>
        <v>0</v>
      </c>
      <c r="AI107" s="70">
        <f t="shared" si="25"/>
        <v>0</v>
      </c>
      <c r="AJ107" s="70">
        <f t="shared" si="25"/>
        <v>247872.27</v>
      </c>
      <c r="AK107" s="70">
        <f t="shared" si="25"/>
        <v>0</v>
      </c>
      <c r="AL107" s="70">
        <f t="shared" si="25"/>
        <v>0</v>
      </c>
      <c r="AM107" s="70">
        <f t="shared" si="25"/>
        <v>0</v>
      </c>
      <c r="AN107" s="70">
        <f t="shared" si="25"/>
        <v>0</v>
      </c>
      <c r="AO107" s="70">
        <f t="shared" si="25"/>
        <v>0</v>
      </c>
      <c r="AP107" s="70">
        <f t="shared" si="25"/>
        <v>0</v>
      </c>
      <c r="AQ107" s="70">
        <f t="shared" si="25"/>
        <v>0</v>
      </c>
      <c r="AR107" s="70">
        <f t="shared" si="25"/>
        <v>0</v>
      </c>
      <c r="AS107" s="70">
        <f t="shared" si="25"/>
        <v>0</v>
      </c>
      <c r="AT107" s="70">
        <f t="shared" si="25"/>
        <v>0</v>
      </c>
      <c r="AU107" s="70">
        <f t="shared" si="25"/>
        <v>1</v>
      </c>
      <c r="AV107" s="70">
        <f t="shared" si="25"/>
        <v>0</v>
      </c>
      <c r="AW107" s="70">
        <f t="shared" si="25"/>
        <v>0</v>
      </c>
      <c r="AX107" s="70">
        <f t="shared" si="25"/>
        <v>0</v>
      </c>
      <c r="AY107" s="70">
        <f t="shared" si="25"/>
        <v>0</v>
      </c>
      <c r="AZ107" s="70">
        <f t="shared" si="25"/>
        <v>0</v>
      </c>
      <c r="BA107" s="70">
        <f t="shared" si="25"/>
        <v>0</v>
      </c>
      <c r="BB107" s="70">
        <f t="shared" si="25"/>
        <v>0</v>
      </c>
      <c r="BC107" s="70">
        <f t="shared" si="25"/>
        <v>0</v>
      </c>
      <c r="BD107" s="70">
        <f t="shared" si="25"/>
        <v>0</v>
      </c>
      <c r="BE107" s="70">
        <f t="shared" si="25"/>
        <v>996400</v>
      </c>
      <c r="BF107" s="70">
        <f t="shared" si="25"/>
        <v>0</v>
      </c>
      <c r="BG107" s="70">
        <f t="shared" si="20"/>
        <v>2974406.4200000004</v>
      </c>
      <c r="BH107" s="70">
        <f t="shared" si="17"/>
        <v>1541933.1500000004</v>
      </c>
      <c r="BI107" s="70">
        <f t="shared" si="18"/>
        <v>436072.27</v>
      </c>
      <c r="BJ107" s="70">
        <f t="shared" si="19"/>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20"/>
        <v>0</v>
      </c>
      <c r="BH108" s="80">
        <f t="shared" si="17"/>
        <v>0</v>
      </c>
      <c r="BI108" s="80">
        <f t="shared" si="18"/>
        <v>0</v>
      </c>
      <c r="BJ108" s="80">
        <f t="shared" si="19"/>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20"/>
        <v>0</v>
      </c>
      <c r="BH109" s="80">
        <f t="shared" si="17"/>
        <v>0</v>
      </c>
      <c r="BI109" s="80">
        <f t="shared" si="18"/>
        <v>0</v>
      </c>
      <c r="BJ109" s="80">
        <f t="shared" si="19"/>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20"/>
        <v>2798886.62</v>
      </c>
      <c r="BH110" s="80">
        <f t="shared" si="17"/>
        <v>1432413.35</v>
      </c>
      <c r="BI110" s="80">
        <f t="shared" si="18"/>
        <v>416072.27</v>
      </c>
      <c r="BJ110" s="80">
        <f t="shared" si="19"/>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20"/>
        <v>0</v>
      </c>
      <c r="BH111" s="80">
        <f t="shared" si="17"/>
        <v>0</v>
      </c>
      <c r="BI111" s="80">
        <f t="shared" si="18"/>
        <v>0</v>
      </c>
      <c r="BJ111" s="80">
        <f t="shared" si="19"/>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20"/>
        <v>0</v>
      </c>
      <c r="BH112" s="80">
        <f t="shared" si="17"/>
        <v>0</v>
      </c>
      <c r="BI112" s="80">
        <f t="shared" si="18"/>
        <v>0</v>
      </c>
      <c r="BJ112" s="80">
        <f t="shared" si="19"/>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20"/>
        <v>32000</v>
      </c>
      <c r="BH113" s="80">
        <f t="shared" si="17"/>
        <v>32000</v>
      </c>
      <c r="BI113" s="80">
        <f t="shared" si="18"/>
        <v>0</v>
      </c>
      <c r="BJ113" s="80">
        <f t="shared" si="19"/>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20"/>
        <v>143519.79999999999</v>
      </c>
      <c r="BH114" s="80">
        <f t="shared" si="17"/>
        <v>77519.8</v>
      </c>
      <c r="BI114" s="80">
        <f t="shared" si="18"/>
        <v>20000</v>
      </c>
      <c r="BJ114" s="80">
        <f t="shared" si="19"/>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20"/>
        <v>0</v>
      </c>
      <c r="BH115" s="80">
        <f t="shared" si="17"/>
        <v>0</v>
      </c>
      <c r="BI115" s="80">
        <f t="shared" si="18"/>
        <v>0</v>
      </c>
      <c r="BJ115" s="80">
        <f t="shared" si="19"/>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20"/>
        <v>0</v>
      </c>
      <c r="BH116" s="80">
        <f t="shared" si="17"/>
        <v>0</v>
      </c>
      <c r="BI116" s="80">
        <f t="shared" si="18"/>
        <v>0</v>
      </c>
      <c r="BJ116" s="80">
        <f t="shared" si="19"/>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20"/>
        <v>0</v>
      </c>
      <c r="BH117" s="80">
        <f t="shared" si="17"/>
        <v>0</v>
      </c>
      <c r="BI117" s="80">
        <f t="shared" si="18"/>
        <v>0</v>
      </c>
      <c r="BJ117" s="80">
        <f t="shared" si="19"/>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6">G122+G132+G142+G152+G164+G172+G183+G190+G193+G197+G200+G203+G206+G209+G212+G215</f>
        <v>2965973.02</v>
      </c>
      <c r="H120" s="88">
        <f t="shared" si="26"/>
        <v>6296669.6499999994</v>
      </c>
      <c r="I120" s="88">
        <f t="shared" si="26"/>
        <v>7297548.3099999996</v>
      </c>
      <c r="J120" s="88">
        <f t="shared" si="26"/>
        <v>35834571.810000002</v>
      </c>
      <c r="K120" s="88">
        <f t="shared" si="26"/>
        <v>32179357.800000004</v>
      </c>
      <c r="L120" s="88">
        <f t="shared" si="26"/>
        <v>21417104.539999999</v>
      </c>
      <c r="M120" s="88">
        <f t="shared" si="26"/>
        <v>177597654.23000002</v>
      </c>
      <c r="N120" s="88">
        <f t="shared" si="26"/>
        <v>10939291.529999999</v>
      </c>
      <c r="O120" s="88">
        <f t="shared" si="26"/>
        <v>1636254.6600000001</v>
      </c>
      <c r="P120" s="88">
        <f t="shared" si="26"/>
        <v>53521100.93</v>
      </c>
      <c r="Q120" s="88">
        <f t="shared" si="26"/>
        <v>5011865.05</v>
      </c>
      <c r="R120" s="88">
        <f t="shared" si="26"/>
        <v>793621.34000000008</v>
      </c>
      <c r="S120" s="88">
        <f t="shared" si="26"/>
        <v>3941697.1199999996</v>
      </c>
      <c r="T120" s="88">
        <f t="shared" si="26"/>
        <v>5143960.4100000011</v>
      </c>
      <c r="U120" s="88">
        <f t="shared" si="26"/>
        <v>8255877.0299999993</v>
      </c>
      <c r="V120" s="88">
        <f t="shared" si="26"/>
        <v>1832318.3499999999</v>
      </c>
      <c r="W120" s="88">
        <f t="shared" si="26"/>
        <v>4866359.71</v>
      </c>
      <c r="X120" s="88">
        <f t="shared" si="26"/>
        <v>22949312.119999997</v>
      </c>
      <c r="Y120" s="88">
        <f t="shared" si="26"/>
        <v>3995294.95</v>
      </c>
      <c r="Z120" s="88">
        <f t="shared" si="26"/>
        <v>14924073.459999999</v>
      </c>
      <c r="AA120" s="88">
        <f t="shared" si="26"/>
        <v>32307335.959999997</v>
      </c>
      <c r="AB120" s="88">
        <f t="shared" si="26"/>
        <v>1624933.4</v>
      </c>
      <c r="AC120" s="88">
        <f t="shared" si="26"/>
        <v>3111796.8600000003</v>
      </c>
      <c r="AD120" s="88">
        <f t="shared" si="26"/>
        <v>6155015.3499999996</v>
      </c>
      <c r="AE120" s="88">
        <f t="shared" si="26"/>
        <v>9012201.0099999998</v>
      </c>
      <c r="AF120" s="88">
        <f t="shared" si="26"/>
        <v>6876138.3399999999</v>
      </c>
      <c r="AG120" s="88">
        <f t="shared" si="26"/>
        <v>9234866.4800000004</v>
      </c>
      <c r="AH120" s="88">
        <f t="shared" si="26"/>
        <v>16349536.65</v>
      </c>
      <c r="AI120" s="88">
        <f t="shared" si="26"/>
        <v>27550063.550000001</v>
      </c>
      <c r="AJ120" s="88">
        <f t="shared" si="26"/>
        <v>3905939.28</v>
      </c>
      <c r="AK120" s="88">
        <f t="shared" si="26"/>
        <v>3222486.64</v>
      </c>
      <c r="AL120" s="88">
        <f t="shared" si="26"/>
        <v>22966348.760000002</v>
      </c>
      <c r="AM120" s="88">
        <f t="shared" si="26"/>
        <v>16102566.52</v>
      </c>
      <c r="AN120" s="88">
        <f t="shared" si="26"/>
        <v>15405801.92</v>
      </c>
      <c r="AO120" s="88">
        <f t="shared" si="26"/>
        <v>2974096.86</v>
      </c>
      <c r="AP120" s="88">
        <f t="shared" si="26"/>
        <v>30433304.219999999</v>
      </c>
      <c r="AQ120" s="88">
        <f t="shared" si="26"/>
        <v>7933124.9500000002</v>
      </c>
      <c r="AR120" s="88">
        <f t="shared" si="26"/>
        <v>6768420.1500000004</v>
      </c>
      <c r="AS120" s="88">
        <f t="shared" si="26"/>
        <v>22575658.690000001</v>
      </c>
      <c r="AT120" s="88">
        <f t="shared" si="26"/>
        <v>7925516.6799999997</v>
      </c>
      <c r="AU120" s="88">
        <f t="shared" si="26"/>
        <v>10850287.100000001</v>
      </c>
      <c r="AV120" s="88">
        <f t="shared" si="26"/>
        <v>5949338.5200000005</v>
      </c>
      <c r="AW120" s="88">
        <f t="shared" si="26"/>
        <v>21309261.509999998</v>
      </c>
      <c r="AX120" s="88">
        <f t="shared" si="26"/>
        <v>8924275.6600000001</v>
      </c>
      <c r="AY120" s="88">
        <f t="shared" si="26"/>
        <v>1559898.92</v>
      </c>
      <c r="AZ120" s="88">
        <f t="shared" si="26"/>
        <v>4115207.58</v>
      </c>
      <c r="BA120" s="88">
        <f t="shared" si="26"/>
        <v>23472611.259999998</v>
      </c>
      <c r="BB120" s="88">
        <f t="shared" si="26"/>
        <v>5399563.7999999998</v>
      </c>
      <c r="BC120" s="88">
        <f t="shared" si="26"/>
        <v>15496471.67</v>
      </c>
      <c r="BD120" s="88">
        <f t="shared" si="26"/>
        <v>1586955.25</v>
      </c>
      <c r="BE120" s="88">
        <f t="shared" si="26"/>
        <v>79883106.600000009</v>
      </c>
      <c r="BF120" s="88">
        <f t="shared" si="26"/>
        <v>5851353.3699999992</v>
      </c>
      <c r="BG120" s="88">
        <f t="shared" si="20"/>
        <v>873422151.77999973</v>
      </c>
      <c r="BH120" s="88">
        <f t="shared" si="17"/>
        <v>417669299.86000001</v>
      </c>
      <c r="BI120" s="88">
        <f t="shared" si="18"/>
        <v>138269681.92999998</v>
      </c>
      <c r="BJ120" s="88">
        <f t="shared" si="19"/>
        <v>317483169.99000001</v>
      </c>
    </row>
    <row r="121" spans="1:62" x14ac:dyDescent="0.25">
      <c r="A121" s="7"/>
      <c r="B121" s="85">
        <v>20</v>
      </c>
      <c r="C121" s="85"/>
      <c r="D121" s="85"/>
      <c r="E121" s="85" t="s">
        <v>252</v>
      </c>
      <c r="F121" s="86">
        <f>F122+F132+F142+F152+F164+F172+F183</f>
        <v>10597593.460000001</v>
      </c>
      <c r="G121" s="86">
        <f t="shared" ref="G121:BF121" si="27">G122+G132+G142+G152+G164+G172+G183</f>
        <v>2476025.2000000002</v>
      </c>
      <c r="H121" s="86">
        <f t="shared" si="27"/>
        <v>6054411.8899999997</v>
      </c>
      <c r="I121" s="86">
        <f t="shared" si="27"/>
        <v>4819394.9499999993</v>
      </c>
      <c r="J121" s="86">
        <f t="shared" si="27"/>
        <v>24955383.649999999</v>
      </c>
      <c r="K121" s="86">
        <f t="shared" si="27"/>
        <v>24713296.990000002</v>
      </c>
      <c r="L121" s="86">
        <f t="shared" si="27"/>
        <v>11514993.67</v>
      </c>
      <c r="M121" s="86">
        <f t="shared" si="27"/>
        <v>146151956.10000002</v>
      </c>
      <c r="N121" s="86">
        <f t="shared" si="27"/>
        <v>6829297.8200000003</v>
      </c>
      <c r="O121" s="86">
        <f t="shared" si="27"/>
        <v>1044108.48</v>
      </c>
      <c r="P121" s="86">
        <f t="shared" si="27"/>
        <v>45801119.899999999</v>
      </c>
      <c r="Q121" s="86">
        <f t="shared" si="27"/>
        <v>3495201.54</v>
      </c>
      <c r="R121" s="86">
        <f t="shared" si="27"/>
        <v>574965.75</v>
      </c>
      <c r="S121" s="86">
        <f t="shared" si="27"/>
        <v>3100133.92</v>
      </c>
      <c r="T121" s="86">
        <f t="shared" si="27"/>
        <v>4169598.1600000006</v>
      </c>
      <c r="U121" s="86">
        <f t="shared" si="27"/>
        <v>5269530.68</v>
      </c>
      <c r="V121" s="86">
        <f t="shared" si="27"/>
        <v>1053712.0699999998</v>
      </c>
      <c r="W121" s="86">
        <f t="shared" si="27"/>
        <v>4133437.39</v>
      </c>
      <c r="X121" s="86">
        <f t="shared" si="27"/>
        <v>17259552.27</v>
      </c>
      <c r="Y121" s="86">
        <f t="shared" si="27"/>
        <v>665835.80000000005</v>
      </c>
      <c r="Z121" s="86">
        <f t="shared" si="27"/>
        <v>10920765.789999999</v>
      </c>
      <c r="AA121" s="86">
        <f t="shared" si="27"/>
        <v>13660696.18</v>
      </c>
      <c r="AB121" s="86">
        <f t="shared" si="27"/>
        <v>841503</v>
      </c>
      <c r="AC121" s="86">
        <f t="shared" si="27"/>
        <v>1355565.94</v>
      </c>
      <c r="AD121" s="86">
        <f t="shared" si="27"/>
        <v>4501281.16</v>
      </c>
      <c r="AE121" s="86">
        <f t="shared" si="27"/>
        <v>7319398.3799999999</v>
      </c>
      <c r="AF121" s="86">
        <f t="shared" si="27"/>
        <v>4025148.3099999996</v>
      </c>
      <c r="AG121" s="86">
        <f t="shared" si="27"/>
        <v>2045263.37</v>
      </c>
      <c r="AH121" s="86">
        <f t="shared" si="27"/>
        <v>7020295.6700000009</v>
      </c>
      <c r="AI121" s="86">
        <f t="shared" si="27"/>
        <v>18244470.900000002</v>
      </c>
      <c r="AJ121" s="86">
        <f t="shared" si="27"/>
        <v>1796313.4300000002</v>
      </c>
      <c r="AK121" s="86">
        <f t="shared" si="27"/>
        <v>1072034.6499999999</v>
      </c>
      <c r="AL121" s="86">
        <f t="shared" si="27"/>
        <v>18843045</v>
      </c>
      <c r="AM121" s="86">
        <f t="shared" si="27"/>
        <v>10070987.34</v>
      </c>
      <c r="AN121" s="86">
        <f t="shared" si="27"/>
        <v>11888425.890000001</v>
      </c>
      <c r="AO121" s="86">
        <f t="shared" si="27"/>
        <v>1619181.74</v>
      </c>
      <c r="AP121" s="86">
        <f t="shared" si="27"/>
        <v>9669024.3300000001</v>
      </c>
      <c r="AQ121" s="86">
        <f t="shared" si="27"/>
        <v>5070636.54</v>
      </c>
      <c r="AR121" s="86">
        <f t="shared" si="27"/>
        <v>4144008.19</v>
      </c>
      <c r="AS121" s="86">
        <f t="shared" si="27"/>
        <v>11559620.700000001</v>
      </c>
      <c r="AT121" s="86">
        <f t="shared" si="27"/>
        <v>5697376.5699999994</v>
      </c>
      <c r="AU121" s="86">
        <f t="shared" si="27"/>
        <v>9161039.7400000002</v>
      </c>
      <c r="AV121" s="86">
        <f t="shared" si="27"/>
        <v>2148930.5700000003</v>
      </c>
      <c r="AW121" s="86">
        <f t="shared" si="27"/>
        <v>13712349.01</v>
      </c>
      <c r="AX121" s="86">
        <f t="shared" si="27"/>
        <v>6198010.5700000003</v>
      </c>
      <c r="AY121" s="86">
        <f t="shared" si="27"/>
        <v>913998.53</v>
      </c>
      <c r="AZ121" s="86">
        <f t="shared" si="27"/>
        <v>2071378.69</v>
      </c>
      <c r="BA121" s="86">
        <f t="shared" si="27"/>
        <v>20057446.789999999</v>
      </c>
      <c r="BB121" s="86">
        <f t="shared" si="27"/>
        <v>2088786.8499999999</v>
      </c>
      <c r="BC121" s="86">
        <f t="shared" si="27"/>
        <v>10822262.43</v>
      </c>
      <c r="BD121" s="86">
        <f t="shared" si="27"/>
        <v>305132.06</v>
      </c>
      <c r="BE121" s="86">
        <f t="shared" si="27"/>
        <v>69166529.180000007</v>
      </c>
      <c r="BF121" s="86">
        <f t="shared" si="27"/>
        <v>4285692.38</v>
      </c>
      <c r="BG121" s="86">
        <f t="shared" si="20"/>
        <v>616976149.57000005</v>
      </c>
      <c r="BH121" s="86">
        <f t="shared" si="17"/>
        <v>324013713.89000005</v>
      </c>
      <c r="BI121" s="86">
        <f t="shared" si="18"/>
        <v>73468572.580000013</v>
      </c>
      <c r="BJ121" s="86">
        <f t="shared" si="19"/>
        <v>219493863.09999999</v>
      </c>
    </row>
    <row r="122" spans="1:62" x14ac:dyDescent="0.25">
      <c r="C122" s="83">
        <v>200</v>
      </c>
      <c r="D122" s="83"/>
      <c r="E122" s="83" t="s">
        <v>253</v>
      </c>
      <c r="F122" s="84">
        <f>F123+F124+F125+F126+F127+F128+F129+F130</f>
        <v>0</v>
      </c>
      <c r="G122" s="84">
        <f t="shared" ref="G122:BF122" si="28">G123+G124+G125+G126+G127+G128+G129+G130</f>
        <v>96415.099999999991</v>
      </c>
      <c r="H122" s="84">
        <f t="shared" si="28"/>
        <v>204208.4</v>
      </c>
      <c r="I122" s="84">
        <f t="shared" si="28"/>
        <v>288807.18</v>
      </c>
      <c r="J122" s="84">
        <f t="shared" si="28"/>
        <v>770196.63</v>
      </c>
      <c r="K122" s="84">
        <f t="shared" si="28"/>
        <v>1390243.5</v>
      </c>
      <c r="L122" s="84">
        <f t="shared" si="28"/>
        <v>386006.85000000003</v>
      </c>
      <c r="M122" s="84">
        <f t="shared" si="28"/>
        <v>10226270.389999999</v>
      </c>
      <c r="N122" s="84">
        <f t="shared" si="28"/>
        <v>313883.77</v>
      </c>
      <c r="O122" s="84">
        <f t="shared" si="28"/>
        <v>78133.58</v>
      </c>
      <c r="P122" s="84">
        <f t="shared" si="28"/>
        <v>1915537.5899999999</v>
      </c>
      <c r="Q122" s="84">
        <f t="shared" si="28"/>
        <v>103015.62000000001</v>
      </c>
      <c r="R122" s="84">
        <f t="shared" si="28"/>
        <v>537.75</v>
      </c>
      <c r="S122" s="84">
        <f t="shared" si="28"/>
        <v>140154.57</v>
      </c>
      <c r="T122" s="84">
        <f t="shared" si="28"/>
        <v>61278.31</v>
      </c>
      <c r="U122" s="84">
        <f t="shared" si="28"/>
        <v>224663.18</v>
      </c>
      <c r="V122" s="84">
        <f t="shared" si="28"/>
        <v>264819.38</v>
      </c>
      <c r="W122" s="84">
        <f t="shared" si="28"/>
        <v>293780.13</v>
      </c>
      <c r="X122" s="84">
        <f t="shared" si="28"/>
        <v>1439741.95</v>
      </c>
      <c r="Y122" s="84">
        <f t="shared" si="28"/>
        <v>0</v>
      </c>
      <c r="Z122" s="84">
        <f t="shared" si="28"/>
        <v>-43502.30999999999</v>
      </c>
      <c r="AA122" s="84">
        <f t="shared" si="28"/>
        <v>5139268.8499999996</v>
      </c>
      <c r="AB122" s="84">
        <f t="shared" si="28"/>
        <v>66448.5</v>
      </c>
      <c r="AC122" s="84">
        <f t="shared" si="28"/>
        <v>30930.55</v>
      </c>
      <c r="AD122" s="84">
        <f t="shared" si="28"/>
        <v>360279.41000000003</v>
      </c>
      <c r="AE122" s="84">
        <f t="shared" si="28"/>
        <v>146295.12000000002</v>
      </c>
      <c r="AF122" s="84">
        <f t="shared" si="28"/>
        <v>20883.599999999999</v>
      </c>
      <c r="AG122" s="84">
        <f t="shared" si="28"/>
        <v>177481.53000000003</v>
      </c>
      <c r="AH122" s="84">
        <f t="shared" si="28"/>
        <v>1236141.22</v>
      </c>
      <c r="AI122" s="84">
        <f t="shared" si="28"/>
        <v>774396.68</v>
      </c>
      <c r="AJ122" s="84">
        <f t="shared" si="28"/>
        <v>607793.76</v>
      </c>
      <c r="AK122" s="84">
        <f t="shared" si="28"/>
        <v>60243.5</v>
      </c>
      <c r="AL122" s="84">
        <f t="shared" si="28"/>
        <v>149235.53</v>
      </c>
      <c r="AM122" s="84">
        <f t="shared" si="28"/>
        <v>400259.22</v>
      </c>
      <c r="AN122" s="84">
        <f t="shared" si="28"/>
        <v>373344.66</v>
      </c>
      <c r="AO122" s="84">
        <f t="shared" si="28"/>
        <v>25435.59</v>
      </c>
      <c r="AP122" s="84">
        <f t="shared" si="28"/>
        <v>1045617.86</v>
      </c>
      <c r="AQ122" s="84">
        <f t="shared" si="28"/>
        <v>356679.72</v>
      </c>
      <c r="AR122" s="84">
        <f t="shared" si="28"/>
        <v>115181.64</v>
      </c>
      <c r="AS122" s="84">
        <f t="shared" si="28"/>
        <v>779647.5</v>
      </c>
      <c r="AT122" s="84">
        <f t="shared" si="28"/>
        <v>578207.17999999993</v>
      </c>
      <c r="AU122" s="84">
        <f t="shared" si="28"/>
        <v>304650.16000000003</v>
      </c>
      <c r="AV122" s="84">
        <f t="shared" si="28"/>
        <v>41809.15</v>
      </c>
      <c r="AW122" s="84">
        <f t="shared" si="28"/>
        <v>169682.90999999997</v>
      </c>
      <c r="AX122" s="84">
        <f t="shared" si="28"/>
        <v>96698.8</v>
      </c>
      <c r="AY122" s="84">
        <f t="shared" si="28"/>
        <v>67075.53</v>
      </c>
      <c r="AZ122" s="84">
        <f t="shared" si="28"/>
        <v>124398.05</v>
      </c>
      <c r="BA122" s="84">
        <f t="shared" si="28"/>
        <v>1017304</v>
      </c>
      <c r="BB122" s="84">
        <f t="shared" si="28"/>
        <v>47647.15</v>
      </c>
      <c r="BC122" s="84">
        <f t="shared" si="28"/>
        <v>547198.9</v>
      </c>
      <c r="BD122" s="84">
        <f t="shared" si="28"/>
        <v>81146.8</v>
      </c>
      <c r="BE122" s="84">
        <f t="shared" si="28"/>
        <v>4206691.96</v>
      </c>
      <c r="BF122" s="84">
        <f t="shared" si="28"/>
        <v>275797.32999999996</v>
      </c>
      <c r="BG122" s="84">
        <f t="shared" si="20"/>
        <v>37578063.93</v>
      </c>
      <c r="BH122" s="84">
        <f t="shared" si="17"/>
        <v>18197693.879999999</v>
      </c>
      <c r="BI122" s="84">
        <f t="shared" si="18"/>
        <v>8576660.4100000001</v>
      </c>
      <c r="BJ122" s="84">
        <f t="shared" si="19"/>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20"/>
        <v>28932315.269999996</v>
      </c>
      <c r="BH123" s="80">
        <f t="shared" si="17"/>
        <v>15685599.640000001</v>
      </c>
      <c r="BI123" s="80">
        <f t="shared" si="18"/>
        <v>3559620.12</v>
      </c>
      <c r="BJ123" s="80">
        <f t="shared" si="19"/>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20"/>
        <v>1845580.59</v>
      </c>
      <c r="BH124" s="80">
        <f t="shared" si="17"/>
        <v>454255.1</v>
      </c>
      <c r="BI124" s="80">
        <f t="shared" si="18"/>
        <v>1028018.9</v>
      </c>
      <c r="BJ124" s="80">
        <f t="shared" si="19"/>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20"/>
        <v>4725578.080000001</v>
      </c>
      <c r="BH125" s="80">
        <f t="shared" si="17"/>
        <v>422948.24</v>
      </c>
      <c r="BI125" s="80">
        <f t="shared" si="18"/>
        <v>3923024.0500000003</v>
      </c>
      <c r="BJ125" s="80">
        <f t="shared" si="19"/>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20"/>
        <v>82070</v>
      </c>
      <c r="BH126" s="80">
        <f t="shared" si="17"/>
        <v>81970</v>
      </c>
      <c r="BI126" s="80">
        <f t="shared" si="18"/>
        <v>100</v>
      </c>
      <c r="BJ126" s="80">
        <f t="shared" si="19"/>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20"/>
        <v>404693.15</v>
      </c>
      <c r="BH127" s="80">
        <f t="shared" si="17"/>
        <v>404693.15</v>
      </c>
      <c r="BI127" s="80">
        <f t="shared" si="18"/>
        <v>0</v>
      </c>
      <c r="BJ127" s="80">
        <f t="shared" si="19"/>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20"/>
        <v>1356793.86</v>
      </c>
      <c r="BH128" s="80">
        <f t="shared" si="17"/>
        <v>1016414.77</v>
      </c>
      <c r="BI128" s="80">
        <f t="shared" si="18"/>
        <v>60897.34</v>
      </c>
      <c r="BJ128" s="80">
        <f t="shared" si="19"/>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20"/>
        <v>72499.399999999994</v>
      </c>
      <c r="BH129" s="80">
        <f t="shared" si="17"/>
        <v>53679.399999999994</v>
      </c>
      <c r="BI129" s="80">
        <f t="shared" si="18"/>
        <v>5000</v>
      </c>
      <c r="BJ129" s="80">
        <f t="shared" si="19"/>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20"/>
        <v>158533.58000000002</v>
      </c>
      <c r="BH130" s="80">
        <f t="shared" si="17"/>
        <v>78133.58</v>
      </c>
      <c r="BI130" s="80">
        <f t="shared" si="18"/>
        <v>0</v>
      </c>
      <c r="BJ130" s="80">
        <f t="shared" si="19"/>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9">G133+G134+G135+G136+G137+G138+G139+G140</f>
        <v>308700</v>
      </c>
      <c r="H132" s="84">
        <f t="shared" si="29"/>
        <v>140800</v>
      </c>
      <c r="I132" s="84">
        <f t="shared" si="29"/>
        <v>252741.71999999997</v>
      </c>
      <c r="J132" s="84">
        <f t="shared" si="29"/>
        <v>5587130.7400000002</v>
      </c>
      <c r="K132" s="84">
        <f t="shared" si="29"/>
        <v>6015550</v>
      </c>
      <c r="L132" s="84">
        <f t="shared" si="29"/>
        <v>390000</v>
      </c>
      <c r="M132" s="84">
        <f t="shared" si="29"/>
        <v>37051659</v>
      </c>
      <c r="N132" s="84">
        <f t="shared" si="29"/>
        <v>267000</v>
      </c>
      <c r="O132" s="84">
        <f t="shared" si="29"/>
        <v>0</v>
      </c>
      <c r="P132" s="84">
        <f t="shared" si="29"/>
        <v>16290985.550000001</v>
      </c>
      <c r="Q132" s="84">
        <f t="shared" si="29"/>
        <v>1214136.27</v>
      </c>
      <c r="R132" s="84">
        <f t="shared" si="29"/>
        <v>120408.18</v>
      </c>
      <c r="S132" s="84">
        <f t="shared" si="29"/>
        <v>0</v>
      </c>
      <c r="T132" s="84">
        <f t="shared" si="29"/>
        <v>2979081.9000000004</v>
      </c>
      <c r="U132" s="84">
        <f t="shared" si="29"/>
        <v>0</v>
      </c>
      <c r="V132" s="84">
        <f t="shared" si="29"/>
        <v>168291.86</v>
      </c>
      <c r="W132" s="84">
        <f t="shared" si="29"/>
        <v>235989.22999999998</v>
      </c>
      <c r="X132" s="84">
        <f t="shared" si="29"/>
        <v>2545622.62</v>
      </c>
      <c r="Y132" s="84">
        <f t="shared" si="29"/>
        <v>405605</v>
      </c>
      <c r="Z132" s="84">
        <f t="shared" si="29"/>
        <v>1490285.95</v>
      </c>
      <c r="AA132" s="84">
        <f t="shared" si="29"/>
        <v>2640000</v>
      </c>
      <c r="AB132" s="84">
        <f t="shared" si="29"/>
        <v>0</v>
      </c>
      <c r="AC132" s="84">
        <f t="shared" si="29"/>
        <v>12500</v>
      </c>
      <c r="AD132" s="84">
        <f t="shared" si="29"/>
        <v>1235051.02</v>
      </c>
      <c r="AE132" s="84">
        <f t="shared" si="29"/>
        <v>-22825.81</v>
      </c>
      <c r="AF132" s="84">
        <f t="shared" si="29"/>
        <v>587125.71</v>
      </c>
      <c r="AG132" s="84">
        <f t="shared" si="29"/>
        <v>490796.39999999997</v>
      </c>
      <c r="AH132" s="84">
        <f t="shared" si="29"/>
        <v>876760.84</v>
      </c>
      <c r="AI132" s="84">
        <f t="shared" si="29"/>
        <v>1234262.1499999999</v>
      </c>
      <c r="AJ132" s="84">
        <f t="shared" si="29"/>
        <v>239485.96</v>
      </c>
      <c r="AK132" s="84">
        <f t="shared" si="29"/>
        <v>148300</v>
      </c>
      <c r="AL132" s="84">
        <f t="shared" si="29"/>
        <v>496152.57</v>
      </c>
      <c r="AM132" s="84">
        <f t="shared" si="29"/>
        <v>573216.67000000004</v>
      </c>
      <c r="AN132" s="84">
        <f t="shared" si="29"/>
        <v>377313.03</v>
      </c>
      <c r="AO132" s="84">
        <f t="shared" si="29"/>
        <v>0</v>
      </c>
      <c r="AP132" s="84">
        <f t="shared" si="29"/>
        <v>0</v>
      </c>
      <c r="AQ132" s="84">
        <f t="shared" si="29"/>
        <v>102400</v>
      </c>
      <c r="AR132" s="84">
        <f t="shared" si="29"/>
        <v>536240</v>
      </c>
      <c r="AS132" s="84">
        <f t="shared" si="29"/>
        <v>1050</v>
      </c>
      <c r="AT132" s="84">
        <f t="shared" si="29"/>
        <v>249777.17</v>
      </c>
      <c r="AU132" s="84">
        <f t="shared" si="29"/>
        <v>294313</v>
      </c>
      <c r="AV132" s="84">
        <f t="shared" si="29"/>
        <v>19300</v>
      </c>
      <c r="AW132" s="84">
        <f t="shared" si="29"/>
        <v>0</v>
      </c>
      <c r="AX132" s="84">
        <f t="shared" si="29"/>
        <v>666341.01</v>
      </c>
      <c r="AY132" s="84">
        <f t="shared" si="29"/>
        <v>0</v>
      </c>
      <c r="AZ132" s="84">
        <f t="shared" si="29"/>
        <v>0</v>
      </c>
      <c r="BA132" s="84">
        <f t="shared" si="29"/>
        <v>999818.38</v>
      </c>
      <c r="BB132" s="84">
        <f t="shared" si="29"/>
        <v>1162137.02</v>
      </c>
      <c r="BC132" s="84">
        <f t="shared" si="29"/>
        <v>2681903.5300000003</v>
      </c>
      <c r="BD132" s="84">
        <f t="shared" si="29"/>
        <v>0</v>
      </c>
      <c r="BE132" s="84">
        <f t="shared" si="29"/>
        <v>10280540</v>
      </c>
      <c r="BF132" s="84">
        <f t="shared" si="29"/>
        <v>185450.16</v>
      </c>
      <c r="BG132" s="84">
        <f t="shared" si="20"/>
        <v>107279453.19000001</v>
      </c>
      <c r="BH132" s="84">
        <f t="shared" si="17"/>
        <v>79316153.430000022</v>
      </c>
      <c r="BI132" s="84">
        <f t="shared" si="18"/>
        <v>9337347.2200000025</v>
      </c>
      <c r="BJ132" s="84">
        <f t="shared" si="19"/>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20"/>
        <v>35006813.550000012</v>
      </c>
      <c r="BH133" s="80">
        <f t="shared" si="17"/>
        <v>23075060.990000002</v>
      </c>
      <c r="BI133" s="80">
        <f t="shared" si="18"/>
        <v>5395388.0199999996</v>
      </c>
      <c r="BJ133" s="80">
        <f t="shared" si="19"/>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20"/>
        <v>12868781.99</v>
      </c>
      <c r="BH134" s="80">
        <f t="shared" si="17"/>
        <v>12971302.890000001</v>
      </c>
      <c r="BI134" s="80">
        <f t="shared" si="18"/>
        <v>17479.099999999999</v>
      </c>
      <c r="BJ134" s="80">
        <f t="shared" si="19"/>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20"/>
        <v>0</v>
      </c>
      <c r="BH135" s="80">
        <f t="shared" ref="BH135:BH198" si="30">SUM(F135:X135)</f>
        <v>0</v>
      </c>
      <c r="BI135" s="80">
        <f t="shared" ref="BI135:BI198" si="31">SUM(Y135:AK135)</f>
        <v>0</v>
      </c>
      <c r="BJ135" s="80">
        <f t="shared" ref="BJ135:BJ198" si="32">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3">SUM(F136:BF136)</f>
        <v>0</v>
      </c>
      <c r="BH136" s="80">
        <f t="shared" si="30"/>
        <v>0</v>
      </c>
      <c r="BI136" s="80">
        <f t="shared" si="31"/>
        <v>0</v>
      </c>
      <c r="BJ136" s="80">
        <f t="shared" si="32"/>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3"/>
        <v>58625007.649999999</v>
      </c>
      <c r="BH137" s="80">
        <f t="shared" si="30"/>
        <v>43269789.549999997</v>
      </c>
      <c r="BI137" s="80">
        <f t="shared" si="31"/>
        <v>3924480.1</v>
      </c>
      <c r="BJ137" s="80">
        <f t="shared" si="32"/>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3"/>
        <v>0</v>
      </c>
      <c r="BH138" s="80">
        <f t="shared" si="30"/>
        <v>0</v>
      </c>
      <c r="BI138" s="80">
        <f t="shared" si="31"/>
        <v>0</v>
      </c>
      <c r="BJ138" s="80">
        <f t="shared" si="32"/>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3"/>
        <v>0</v>
      </c>
      <c r="BH139" s="80">
        <f t="shared" si="30"/>
        <v>0</v>
      </c>
      <c r="BI139" s="80">
        <f t="shared" si="31"/>
        <v>0</v>
      </c>
      <c r="BJ139" s="80">
        <f t="shared" si="32"/>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3"/>
        <v>778850</v>
      </c>
      <c r="BH140" s="80">
        <f t="shared" si="30"/>
        <v>0</v>
      </c>
      <c r="BI140" s="80">
        <f t="shared" si="31"/>
        <v>0</v>
      </c>
      <c r="BJ140" s="80">
        <f t="shared" si="32"/>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4">G143+G144+G145+G146+G147+G148+G149+G150</f>
        <v>1710.5</v>
      </c>
      <c r="H142" s="84">
        <f t="shared" si="34"/>
        <v>411964.19</v>
      </c>
      <c r="I142" s="84">
        <f t="shared" si="34"/>
        <v>312367.87</v>
      </c>
      <c r="J142" s="84">
        <f t="shared" si="34"/>
        <v>511474.63</v>
      </c>
      <c r="K142" s="84">
        <f t="shared" si="34"/>
        <v>109112.89000000001</v>
      </c>
      <c r="L142" s="84">
        <f t="shared" si="34"/>
        <v>648339.77</v>
      </c>
      <c r="M142" s="84">
        <f t="shared" si="34"/>
        <v>1491640.0100000002</v>
      </c>
      <c r="N142" s="84">
        <f t="shared" si="34"/>
        <v>88229.35</v>
      </c>
      <c r="O142" s="84">
        <f t="shared" si="34"/>
        <v>44145.3</v>
      </c>
      <c r="P142" s="84">
        <f t="shared" si="34"/>
        <v>284772.00999999995</v>
      </c>
      <c r="Q142" s="84">
        <f t="shared" si="34"/>
        <v>383002.79</v>
      </c>
      <c r="R142" s="84">
        <f t="shared" si="34"/>
        <v>77569.820000000007</v>
      </c>
      <c r="S142" s="84">
        <f t="shared" si="34"/>
        <v>2100</v>
      </c>
      <c r="T142" s="84">
        <f t="shared" si="34"/>
        <v>30300</v>
      </c>
      <c r="U142" s="84">
        <f t="shared" si="34"/>
        <v>4098.6000000000004</v>
      </c>
      <c r="V142" s="84">
        <f t="shared" si="34"/>
        <v>58843.700000000004</v>
      </c>
      <c r="W142" s="84">
        <f t="shared" si="34"/>
        <v>340062.1</v>
      </c>
      <c r="X142" s="84">
        <f t="shared" si="34"/>
        <v>133973.17000000001</v>
      </c>
      <c r="Y142" s="84">
        <f t="shared" si="34"/>
        <v>63494.6</v>
      </c>
      <c r="Z142" s="84">
        <f t="shared" si="34"/>
        <v>61990.5</v>
      </c>
      <c r="AA142" s="84">
        <f t="shared" si="34"/>
        <v>1081427.33</v>
      </c>
      <c r="AB142" s="84">
        <f t="shared" si="34"/>
        <v>6383.6</v>
      </c>
      <c r="AC142" s="84">
        <f t="shared" si="34"/>
        <v>116506.6</v>
      </c>
      <c r="AD142" s="84">
        <f t="shared" si="34"/>
        <v>5965.45</v>
      </c>
      <c r="AE142" s="84">
        <f t="shared" si="34"/>
        <v>157793.22</v>
      </c>
      <c r="AF142" s="84">
        <f t="shared" si="34"/>
        <v>202354.41</v>
      </c>
      <c r="AG142" s="84">
        <f t="shared" si="34"/>
        <v>794299.84</v>
      </c>
      <c r="AH142" s="84">
        <f t="shared" si="34"/>
        <v>95537.41</v>
      </c>
      <c r="AI142" s="84">
        <f t="shared" si="34"/>
        <v>158959.33000000002</v>
      </c>
      <c r="AJ142" s="84">
        <f t="shared" si="34"/>
        <v>73847.990000000005</v>
      </c>
      <c r="AK142" s="84">
        <f t="shared" si="34"/>
        <v>39881.149999999994</v>
      </c>
      <c r="AL142" s="84">
        <f t="shared" si="34"/>
        <v>838336.9</v>
      </c>
      <c r="AM142" s="84">
        <f t="shared" si="34"/>
        <v>510511.45</v>
      </c>
      <c r="AN142" s="84">
        <f t="shared" si="34"/>
        <v>545807.85</v>
      </c>
      <c r="AO142" s="84">
        <f t="shared" si="34"/>
        <v>9346.15</v>
      </c>
      <c r="AP142" s="84">
        <f t="shared" si="34"/>
        <v>171856.47</v>
      </c>
      <c r="AQ142" s="84">
        <f t="shared" si="34"/>
        <v>9756.8200000000015</v>
      </c>
      <c r="AR142" s="84">
        <f t="shared" si="34"/>
        <v>9351</v>
      </c>
      <c r="AS142" s="84">
        <f t="shared" si="34"/>
        <v>78536.25</v>
      </c>
      <c r="AT142" s="84">
        <f t="shared" si="34"/>
        <v>8825.5</v>
      </c>
      <c r="AU142" s="84">
        <f t="shared" si="34"/>
        <v>149290.91</v>
      </c>
      <c r="AV142" s="84">
        <f t="shared" si="34"/>
        <v>264954.17000000004</v>
      </c>
      <c r="AW142" s="84">
        <f t="shared" si="34"/>
        <v>436415.24999999994</v>
      </c>
      <c r="AX142" s="84">
        <f t="shared" si="34"/>
        <v>63344.15</v>
      </c>
      <c r="AY142" s="84">
        <f t="shared" si="34"/>
        <v>238.5</v>
      </c>
      <c r="AZ142" s="84">
        <f t="shared" si="34"/>
        <v>43682.15</v>
      </c>
      <c r="BA142" s="84">
        <f t="shared" si="34"/>
        <v>199659.76</v>
      </c>
      <c r="BB142" s="84">
        <f t="shared" si="34"/>
        <v>18502.68</v>
      </c>
      <c r="BC142" s="84">
        <f t="shared" si="34"/>
        <v>136748.9</v>
      </c>
      <c r="BD142" s="84">
        <f t="shared" si="34"/>
        <v>85239.56</v>
      </c>
      <c r="BE142" s="84">
        <f t="shared" si="34"/>
        <v>1116170.21</v>
      </c>
      <c r="BF142" s="84">
        <f t="shared" si="34"/>
        <v>244666.74</v>
      </c>
      <c r="BG142" s="84">
        <f t="shared" si="33"/>
        <v>12900362.9</v>
      </c>
      <c r="BH142" s="84">
        <f t="shared" si="30"/>
        <v>5100680.0999999996</v>
      </c>
      <c r="BI142" s="84">
        <f t="shared" si="31"/>
        <v>2858441.4300000006</v>
      </c>
      <c r="BJ142" s="84">
        <f t="shared" si="32"/>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3"/>
        <v>608489.85</v>
      </c>
      <c r="BH143" s="80">
        <f t="shared" si="30"/>
        <v>13845.25</v>
      </c>
      <c r="BI143" s="80">
        <f t="shared" si="31"/>
        <v>41601.5</v>
      </c>
      <c r="BJ143" s="80">
        <f t="shared" si="32"/>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3"/>
        <v>7475581.5100000026</v>
      </c>
      <c r="BH144" s="80">
        <f t="shared" si="30"/>
        <v>3163981.5999999996</v>
      </c>
      <c r="BI144" s="80">
        <f t="shared" si="31"/>
        <v>2471135.0200000005</v>
      </c>
      <c r="BJ144" s="80">
        <f t="shared" si="32"/>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3"/>
        <v>1365075.76</v>
      </c>
      <c r="BH145" s="80">
        <f t="shared" si="30"/>
        <v>752954.19000000006</v>
      </c>
      <c r="BI145" s="80">
        <f t="shared" si="31"/>
        <v>13936.650000000001</v>
      </c>
      <c r="BJ145" s="80">
        <f t="shared" si="32"/>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3"/>
        <v>2084046.7400000005</v>
      </c>
      <c r="BH146" s="80">
        <f t="shared" si="30"/>
        <v>939606.68000000017</v>
      </c>
      <c r="BI146" s="80">
        <f t="shared" si="31"/>
        <v>270308</v>
      </c>
      <c r="BJ146" s="80">
        <f t="shared" si="32"/>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3"/>
        <v>384151.19999999995</v>
      </c>
      <c r="BH147" s="80">
        <f t="shared" si="30"/>
        <v>111986.93000000001</v>
      </c>
      <c r="BI147" s="80">
        <f t="shared" si="31"/>
        <v>29976.87</v>
      </c>
      <c r="BJ147" s="80">
        <f t="shared" si="32"/>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3"/>
        <v>61824.24</v>
      </c>
      <c r="BH148" s="80">
        <f t="shared" si="30"/>
        <v>-319.90000000000009</v>
      </c>
      <c r="BI148" s="80">
        <f t="shared" si="31"/>
        <v>30252.04</v>
      </c>
      <c r="BJ148" s="80">
        <f t="shared" si="32"/>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3"/>
        <v>102425.35</v>
      </c>
      <c r="BH149" s="80">
        <f t="shared" si="30"/>
        <v>101194</v>
      </c>
      <c r="BI149" s="80">
        <f t="shared" si="31"/>
        <v>1231.3499999999999</v>
      </c>
      <c r="BJ149" s="80">
        <f t="shared" si="32"/>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3"/>
        <v>818768.25</v>
      </c>
      <c r="BH150" s="80">
        <f t="shared" si="30"/>
        <v>17431.349999999999</v>
      </c>
      <c r="BI150" s="80">
        <f t="shared" si="31"/>
        <v>0</v>
      </c>
      <c r="BJ150" s="80">
        <f t="shared" si="32"/>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5">G153+G154+G155+G156+G157+G158+G159+G160+G161+G162</f>
        <v>0</v>
      </c>
      <c r="H152" s="84">
        <f t="shared" si="35"/>
        <v>0</v>
      </c>
      <c r="I152" s="84">
        <f t="shared" si="35"/>
        <v>0</v>
      </c>
      <c r="J152" s="84">
        <f t="shared" si="35"/>
        <v>0</v>
      </c>
      <c r="K152" s="84">
        <f t="shared" si="35"/>
        <v>0</v>
      </c>
      <c r="L152" s="84">
        <f t="shared" si="35"/>
        <v>20000</v>
      </c>
      <c r="M152" s="84">
        <f t="shared" si="35"/>
        <v>420000</v>
      </c>
      <c r="N152" s="84">
        <f t="shared" si="35"/>
        <v>0</v>
      </c>
      <c r="O152" s="84">
        <f t="shared" si="35"/>
        <v>0</v>
      </c>
      <c r="P152" s="84">
        <f t="shared" si="35"/>
        <v>109573.70000000001</v>
      </c>
      <c r="Q152" s="84">
        <f t="shared" si="35"/>
        <v>0</v>
      </c>
      <c r="R152" s="84">
        <f t="shared" si="35"/>
        <v>0</v>
      </c>
      <c r="S152" s="84">
        <f t="shared" si="35"/>
        <v>0</v>
      </c>
      <c r="T152" s="84">
        <f t="shared" si="35"/>
        <v>0</v>
      </c>
      <c r="U152" s="84">
        <f t="shared" si="35"/>
        <v>-1135.0999999999999</v>
      </c>
      <c r="V152" s="84">
        <f t="shared" si="35"/>
        <v>10000</v>
      </c>
      <c r="W152" s="84">
        <f t="shared" si="35"/>
        <v>0</v>
      </c>
      <c r="X152" s="84">
        <f t="shared" si="35"/>
        <v>101000</v>
      </c>
      <c r="Y152" s="84">
        <f t="shared" si="35"/>
        <v>0</v>
      </c>
      <c r="Z152" s="84">
        <f t="shared" si="35"/>
        <v>1365.15</v>
      </c>
      <c r="AA152" s="84">
        <f t="shared" si="35"/>
        <v>0</v>
      </c>
      <c r="AB152" s="84">
        <f t="shared" si="35"/>
        <v>0</v>
      </c>
      <c r="AC152" s="84">
        <f t="shared" si="35"/>
        <v>0</v>
      </c>
      <c r="AD152" s="84">
        <f t="shared" si="35"/>
        <v>0</v>
      </c>
      <c r="AE152" s="84">
        <f t="shared" si="35"/>
        <v>0</v>
      </c>
      <c r="AF152" s="84">
        <f t="shared" si="35"/>
        <v>0</v>
      </c>
      <c r="AG152" s="84">
        <f t="shared" si="35"/>
        <v>0</v>
      </c>
      <c r="AH152" s="84">
        <f t="shared" si="35"/>
        <v>0</v>
      </c>
      <c r="AI152" s="84">
        <f t="shared" si="35"/>
        <v>93642</v>
      </c>
      <c r="AJ152" s="84">
        <f t="shared" si="35"/>
        <v>0</v>
      </c>
      <c r="AK152" s="84">
        <f t="shared" si="35"/>
        <v>0</v>
      </c>
      <c r="AL152" s="84">
        <f t="shared" si="35"/>
        <v>0</v>
      </c>
      <c r="AM152" s="84">
        <f t="shared" si="35"/>
        <v>0</v>
      </c>
      <c r="AN152" s="84">
        <f t="shared" si="35"/>
        <v>0</v>
      </c>
      <c r="AO152" s="84">
        <f t="shared" si="35"/>
        <v>0</v>
      </c>
      <c r="AP152" s="84">
        <f t="shared" si="35"/>
        <v>30000</v>
      </c>
      <c r="AQ152" s="84">
        <f t="shared" si="35"/>
        <v>0</v>
      </c>
      <c r="AR152" s="84">
        <f t="shared" si="35"/>
        <v>0</v>
      </c>
      <c r="AS152" s="84">
        <f t="shared" si="35"/>
        <v>25000</v>
      </c>
      <c r="AT152" s="84">
        <f t="shared" si="35"/>
        <v>0</v>
      </c>
      <c r="AU152" s="84">
        <f t="shared" si="35"/>
        <v>0</v>
      </c>
      <c r="AV152" s="84">
        <f t="shared" si="35"/>
        <v>0</v>
      </c>
      <c r="AW152" s="84">
        <f t="shared" si="35"/>
        <v>177250.85</v>
      </c>
      <c r="AX152" s="84">
        <f t="shared" si="35"/>
        <v>31267.31</v>
      </c>
      <c r="AY152" s="84">
        <f t="shared" si="35"/>
        <v>0</v>
      </c>
      <c r="AZ152" s="84">
        <f t="shared" si="35"/>
        <v>0</v>
      </c>
      <c r="BA152" s="84">
        <f t="shared" si="35"/>
        <v>0</v>
      </c>
      <c r="BB152" s="84">
        <f t="shared" si="35"/>
        <v>0</v>
      </c>
      <c r="BC152" s="84">
        <f t="shared" si="35"/>
        <v>0</v>
      </c>
      <c r="BD152" s="84">
        <f t="shared" si="35"/>
        <v>0</v>
      </c>
      <c r="BE152" s="84">
        <f t="shared" si="35"/>
        <v>0</v>
      </c>
      <c r="BF152" s="84">
        <f t="shared" si="35"/>
        <v>0</v>
      </c>
      <c r="BG152" s="84">
        <f t="shared" si="33"/>
        <v>1017963.91</v>
      </c>
      <c r="BH152" s="84">
        <f t="shared" si="30"/>
        <v>659438.6</v>
      </c>
      <c r="BI152" s="84">
        <f t="shared" si="31"/>
        <v>95007.15</v>
      </c>
      <c r="BJ152" s="84">
        <f t="shared" si="32"/>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3"/>
        <v>729007.3600000001</v>
      </c>
      <c r="BH153" s="80">
        <f t="shared" si="30"/>
        <v>641864.9</v>
      </c>
      <c r="BI153" s="80">
        <f t="shared" si="31"/>
        <v>66365.149999999994</v>
      </c>
      <c r="BJ153" s="80">
        <f t="shared" si="32"/>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3"/>
        <v>0</v>
      </c>
      <c r="BH154" s="80">
        <f t="shared" si="30"/>
        <v>0</v>
      </c>
      <c r="BI154" s="80">
        <f t="shared" si="31"/>
        <v>0</v>
      </c>
      <c r="BJ154" s="80">
        <f t="shared" si="32"/>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3"/>
        <v>15490</v>
      </c>
      <c r="BH155" s="80">
        <f t="shared" si="30"/>
        <v>5000</v>
      </c>
      <c r="BI155" s="80">
        <f t="shared" si="31"/>
        <v>0</v>
      </c>
      <c r="BJ155" s="80">
        <f t="shared" si="32"/>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3"/>
        <v>125763.32</v>
      </c>
      <c r="BH156" s="80">
        <f t="shared" si="30"/>
        <v>5000</v>
      </c>
      <c r="BI156" s="80">
        <f t="shared" si="31"/>
        <v>0</v>
      </c>
      <c r="BJ156" s="80">
        <f t="shared" si="32"/>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3"/>
        <v>495.6</v>
      </c>
      <c r="BH157" s="80">
        <f t="shared" si="30"/>
        <v>495.6</v>
      </c>
      <c r="BI157" s="80">
        <f t="shared" si="31"/>
        <v>0</v>
      </c>
      <c r="BJ157" s="80">
        <f t="shared" si="32"/>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3"/>
        <v>86487.53</v>
      </c>
      <c r="BH158" s="80">
        <f t="shared" si="30"/>
        <v>0</v>
      </c>
      <c r="BI158" s="80">
        <f t="shared" si="31"/>
        <v>0</v>
      </c>
      <c r="BJ158" s="80">
        <f t="shared" si="32"/>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3"/>
        <v>0</v>
      </c>
      <c r="BH159" s="80">
        <f t="shared" si="30"/>
        <v>0</v>
      </c>
      <c r="BI159" s="80">
        <f t="shared" si="31"/>
        <v>0</v>
      </c>
      <c r="BJ159" s="80">
        <f t="shared" si="32"/>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3"/>
        <v>28642</v>
      </c>
      <c r="BH160" s="80">
        <f t="shared" si="30"/>
        <v>0</v>
      </c>
      <c r="BI160" s="80">
        <f t="shared" si="31"/>
        <v>28642</v>
      </c>
      <c r="BJ160" s="80">
        <f t="shared" si="32"/>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3"/>
        <v>25000</v>
      </c>
      <c r="BH161" s="80">
        <f t="shared" si="30"/>
        <v>0</v>
      </c>
      <c r="BI161" s="80">
        <f t="shared" si="31"/>
        <v>0</v>
      </c>
      <c r="BJ161" s="80">
        <f t="shared" si="32"/>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3"/>
        <v>7078.1</v>
      </c>
      <c r="BH162" s="80">
        <f t="shared" si="30"/>
        <v>7078.1</v>
      </c>
      <c r="BI162" s="80">
        <f t="shared" si="31"/>
        <v>0</v>
      </c>
      <c r="BJ162" s="80">
        <f t="shared" si="32"/>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6">G165+G166+G167+G168+G169+G170</f>
        <v>2069199.6</v>
      </c>
      <c r="H164" s="84">
        <f t="shared" si="36"/>
        <v>5177800</v>
      </c>
      <c r="I164" s="84">
        <f t="shared" si="36"/>
        <v>3890756.96</v>
      </c>
      <c r="J164" s="84">
        <f t="shared" si="36"/>
        <v>17756300</v>
      </c>
      <c r="K164" s="84">
        <f t="shared" si="36"/>
        <v>16190550</v>
      </c>
      <c r="L164" s="84">
        <f t="shared" si="36"/>
        <v>9758495.1300000008</v>
      </c>
      <c r="M164" s="84">
        <f t="shared" si="36"/>
        <v>95091195.150000006</v>
      </c>
      <c r="N164" s="84">
        <f t="shared" si="36"/>
        <v>6134829.75</v>
      </c>
      <c r="O164" s="84">
        <f t="shared" si="36"/>
        <v>780304.9</v>
      </c>
      <c r="P164" s="84">
        <f t="shared" si="36"/>
        <v>25935350.149999999</v>
      </c>
      <c r="Q164" s="84">
        <f t="shared" si="36"/>
        <v>1776635.35</v>
      </c>
      <c r="R164" s="84">
        <f t="shared" si="36"/>
        <v>376450</v>
      </c>
      <c r="S164" s="84">
        <f t="shared" si="36"/>
        <v>2943627.35</v>
      </c>
      <c r="T164" s="84">
        <f t="shared" si="36"/>
        <v>1060911</v>
      </c>
      <c r="U164" s="84">
        <f t="shared" si="36"/>
        <v>4871800</v>
      </c>
      <c r="V164" s="84">
        <f t="shared" si="36"/>
        <v>504350</v>
      </c>
      <c r="W164" s="84">
        <f t="shared" si="36"/>
        <v>3263161.06</v>
      </c>
      <c r="X164" s="84">
        <f t="shared" si="36"/>
        <v>12462575</v>
      </c>
      <c r="Y164" s="84">
        <f t="shared" si="36"/>
        <v>196736.2</v>
      </c>
      <c r="Z164" s="84">
        <f t="shared" si="36"/>
        <v>9245800</v>
      </c>
      <c r="AA164" s="84">
        <f t="shared" si="36"/>
        <v>700000</v>
      </c>
      <c r="AB164" s="84">
        <f t="shared" si="36"/>
        <v>768670.9</v>
      </c>
      <c r="AC164" s="84">
        <f t="shared" si="36"/>
        <v>1175000</v>
      </c>
      <c r="AD164" s="84">
        <f t="shared" si="36"/>
        <v>2701405</v>
      </c>
      <c r="AE164" s="84">
        <f t="shared" si="36"/>
        <v>7038135.8499999996</v>
      </c>
      <c r="AF164" s="84">
        <f t="shared" si="36"/>
        <v>3142600</v>
      </c>
      <c r="AG164" s="84">
        <f t="shared" si="36"/>
        <v>490800</v>
      </c>
      <c r="AH164" s="84">
        <f t="shared" si="36"/>
        <v>4291400</v>
      </c>
      <c r="AI164" s="84">
        <f t="shared" si="36"/>
        <v>14869135.15</v>
      </c>
      <c r="AJ164" s="84">
        <f t="shared" si="36"/>
        <v>834750.62</v>
      </c>
      <c r="AK164" s="84">
        <f t="shared" si="36"/>
        <v>823610</v>
      </c>
      <c r="AL164" s="84">
        <f t="shared" si="36"/>
        <v>17359320</v>
      </c>
      <c r="AM164" s="84">
        <f t="shared" si="36"/>
        <v>8587000</v>
      </c>
      <c r="AN164" s="84">
        <f t="shared" si="36"/>
        <v>10539574.300000001</v>
      </c>
      <c r="AO164" s="84">
        <f t="shared" si="36"/>
        <v>1584400</v>
      </c>
      <c r="AP164" s="84">
        <f t="shared" si="36"/>
        <v>8421550</v>
      </c>
      <c r="AQ164" s="84">
        <f t="shared" si="36"/>
        <v>4601800</v>
      </c>
      <c r="AR164" s="84">
        <f t="shared" si="36"/>
        <v>3432745</v>
      </c>
      <c r="AS164" s="84">
        <f t="shared" si="36"/>
        <v>10477846.050000001</v>
      </c>
      <c r="AT164" s="84">
        <f t="shared" si="36"/>
        <v>4848271.0999999996</v>
      </c>
      <c r="AU164" s="84">
        <f t="shared" si="36"/>
        <v>8332909.5</v>
      </c>
      <c r="AV164" s="84">
        <f t="shared" si="36"/>
        <v>1806665</v>
      </c>
      <c r="AW164" s="84">
        <f t="shared" si="36"/>
        <v>12929000</v>
      </c>
      <c r="AX164" s="84">
        <f t="shared" si="36"/>
        <v>5224542</v>
      </c>
      <c r="AY164" s="84">
        <f t="shared" si="36"/>
        <v>637770</v>
      </c>
      <c r="AZ164" s="84">
        <f t="shared" si="36"/>
        <v>1878500</v>
      </c>
      <c r="BA164" s="84">
        <f t="shared" si="36"/>
        <v>17771972</v>
      </c>
      <c r="BB164" s="84">
        <f t="shared" si="36"/>
        <v>860500</v>
      </c>
      <c r="BC164" s="84">
        <f t="shared" si="36"/>
        <v>7129460</v>
      </c>
      <c r="BD164" s="84">
        <f t="shared" si="36"/>
        <v>138745.70000000001</v>
      </c>
      <c r="BE164" s="84">
        <f t="shared" si="36"/>
        <v>52417022</v>
      </c>
      <c r="BF164" s="84">
        <f t="shared" si="36"/>
        <v>3579778.15</v>
      </c>
      <c r="BG164" s="84">
        <f t="shared" si="33"/>
        <v>443486105.92000002</v>
      </c>
      <c r="BH164" s="84">
        <f t="shared" si="30"/>
        <v>214648691.40000001</v>
      </c>
      <c r="BI164" s="84">
        <f t="shared" si="31"/>
        <v>46278043.719999999</v>
      </c>
      <c r="BJ164" s="84">
        <f t="shared" si="32"/>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3"/>
        <v>31479661.300000001</v>
      </c>
      <c r="BH165" s="80">
        <f t="shared" si="30"/>
        <v>5816300</v>
      </c>
      <c r="BI165" s="80">
        <f t="shared" si="31"/>
        <v>17805661.300000001</v>
      </c>
      <c r="BJ165" s="80">
        <f t="shared" si="32"/>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3"/>
        <v>0</v>
      </c>
      <c r="BH166" s="80">
        <f t="shared" si="30"/>
        <v>0</v>
      </c>
      <c r="BI166" s="80">
        <f t="shared" si="31"/>
        <v>0</v>
      </c>
      <c r="BJ166" s="80">
        <f t="shared" si="32"/>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3"/>
        <v>256862992.47</v>
      </c>
      <c r="BH167" s="80">
        <f t="shared" si="30"/>
        <v>69162432.75</v>
      </c>
      <c r="BI167" s="80">
        <f t="shared" si="31"/>
        <v>28433159.420000002</v>
      </c>
      <c r="BJ167" s="80">
        <f t="shared" si="32"/>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3"/>
        <v>158626992.15000001</v>
      </c>
      <c r="BH168" s="80">
        <f t="shared" si="30"/>
        <v>139173008.65000001</v>
      </c>
      <c r="BI168" s="80">
        <f t="shared" si="31"/>
        <v>685250</v>
      </c>
      <c r="BJ168" s="80">
        <f t="shared" si="32"/>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3"/>
        <v>-1093760</v>
      </c>
      <c r="BH169" s="80">
        <f t="shared" si="30"/>
        <v>0</v>
      </c>
      <c r="BI169" s="80">
        <f t="shared" si="31"/>
        <v>0</v>
      </c>
      <c r="BJ169" s="80">
        <f t="shared" si="32"/>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3"/>
        <v>-2389780</v>
      </c>
      <c r="BH170" s="80">
        <f t="shared" si="30"/>
        <v>496950</v>
      </c>
      <c r="BI170" s="80">
        <f t="shared" si="31"/>
        <v>-646027</v>
      </c>
      <c r="BJ170" s="80">
        <f t="shared" si="32"/>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7">G173+G174+G175+G176+G177+G178+G179+G180+G181</f>
        <v>0</v>
      </c>
      <c r="H172" s="84">
        <f t="shared" si="37"/>
        <v>0</v>
      </c>
      <c r="I172" s="84">
        <f t="shared" si="37"/>
        <v>0</v>
      </c>
      <c r="J172" s="84">
        <f t="shared" si="37"/>
        <v>79546.899999999994</v>
      </c>
      <c r="K172" s="84">
        <f t="shared" si="37"/>
        <v>2450</v>
      </c>
      <c r="L172" s="84">
        <f t="shared" si="37"/>
        <v>0</v>
      </c>
      <c r="M172" s="84">
        <f t="shared" si="37"/>
        <v>0</v>
      </c>
      <c r="N172" s="84">
        <f t="shared" si="37"/>
        <v>0</v>
      </c>
      <c r="O172" s="84">
        <f t="shared" si="37"/>
        <v>0</v>
      </c>
      <c r="P172" s="84">
        <f t="shared" si="37"/>
        <v>477423.5</v>
      </c>
      <c r="Q172" s="84">
        <f t="shared" si="37"/>
        <v>0</v>
      </c>
      <c r="R172" s="84">
        <f t="shared" si="37"/>
        <v>0</v>
      </c>
      <c r="S172" s="84">
        <f t="shared" si="37"/>
        <v>0</v>
      </c>
      <c r="T172" s="84">
        <f t="shared" si="37"/>
        <v>0</v>
      </c>
      <c r="U172" s="84">
        <f t="shared" si="37"/>
        <v>0</v>
      </c>
      <c r="V172" s="84">
        <f t="shared" si="37"/>
        <v>10691.47</v>
      </c>
      <c r="W172" s="84">
        <f t="shared" si="37"/>
        <v>0</v>
      </c>
      <c r="X172" s="84">
        <f t="shared" si="37"/>
        <v>0</v>
      </c>
      <c r="Y172" s="84">
        <f t="shared" si="37"/>
        <v>0</v>
      </c>
      <c r="Z172" s="84">
        <f t="shared" si="37"/>
        <v>0</v>
      </c>
      <c r="AA172" s="84">
        <f t="shared" si="37"/>
        <v>4100000</v>
      </c>
      <c r="AB172" s="84">
        <f t="shared" si="37"/>
        <v>0</v>
      </c>
      <c r="AC172" s="84">
        <f t="shared" si="37"/>
        <v>0</v>
      </c>
      <c r="AD172" s="84">
        <f t="shared" si="37"/>
        <v>0</v>
      </c>
      <c r="AE172" s="84">
        <f t="shared" si="37"/>
        <v>0</v>
      </c>
      <c r="AF172" s="84">
        <f t="shared" si="37"/>
        <v>0</v>
      </c>
      <c r="AG172" s="84">
        <f t="shared" si="37"/>
        <v>0</v>
      </c>
      <c r="AH172" s="84">
        <f t="shared" si="37"/>
        <v>0</v>
      </c>
      <c r="AI172" s="84">
        <f t="shared" si="37"/>
        <v>264093.7</v>
      </c>
      <c r="AJ172" s="84">
        <f t="shared" si="37"/>
        <v>0</v>
      </c>
      <c r="AK172" s="84">
        <f t="shared" si="37"/>
        <v>0</v>
      </c>
      <c r="AL172" s="84">
        <f t="shared" si="37"/>
        <v>0</v>
      </c>
      <c r="AM172" s="84">
        <f t="shared" si="37"/>
        <v>0</v>
      </c>
      <c r="AN172" s="84">
        <f t="shared" si="37"/>
        <v>0</v>
      </c>
      <c r="AO172" s="84">
        <f t="shared" si="37"/>
        <v>0</v>
      </c>
      <c r="AP172" s="84">
        <f t="shared" si="37"/>
        <v>0</v>
      </c>
      <c r="AQ172" s="84">
        <f t="shared" si="37"/>
        <v>0</v>
      </c>
      <c r="AR172" s="84">
        <f t="shared" si="37"/>
        <v>0</v>
      </c>
      <c r="AS172" s="84">
        <f t="shared" si="37"/>
        <v>0</v>
      </c>
      <c r="AT172" s="84">
        <f t="shared" si="37"/>
        <v>0</v>
      </c>
      <c r="AU172" s="84">
        <f t="shared" si="37"/>
        <v>0</v>
      </c>
      <c r="AV172" s="84">
        <f t="shared" si="37"/>
        <v>0</v>
      </c>
      <c r="AW172" s="84">
        <f t="shared" si="37"/>
        <v>0</v>
      </c>
      <c r="AX172" s="84">
        <f t="shared" si="37"/>
        <v>0</v>
      </c>
      <c r="AY172" s="84">
        <f t="shared" si="37"/>
        <v>53926.85</v>
      </c>
      <c r="AZ172" s="84">
        <f t="shared" si="37"/>
        <v>0</v>
      </c>
      <c r="BA172" s="84">
        <f t="shared" si="37"/>
        <v>0</v>
      </c>
      <c r="BB172" s="84">
        <f t="shared" si="37"/>
        <v>0</v>
      </c>
      <c r="BC172" s="84">
        <f t="shared" si="37"/>
        <v>321307.2</v>
      </c>
      <c r="BD172" s="84">
        <f t="shared" si="37"/>
        <v>0</v>
      </c>
      <c r="BE172" s="84">
        <f t="shared" si="37"/>
        <v>0</v>
      </c>
      <c r="BF172" s="84">
        <f t="shared" si="37"/>
        <v>0</v>
      </c>
      <c r="BG172" s="84">
        <f t="shared" si="33"/>
        <v>5309439.62</v>
      </c>
      <c r="BH172" s="84">
        <f t="shared" si="30"/>
        <v>570111.87</v>
      </c>
      <c r="BI172" s="84">
        <f t="shared" si="31"/>
        <v>4364093.7</v>
      </c>
      <c r="BJ172" s="84">
        <f t="shared" si="32"/>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3"/>
        <v>0</v>
      </c>
      <c r="BH173" s="80">
        <f t="shared" si="30"/>
        <v>0</v>
      </c>
      <c r="BI173" s="80">
        <f t="shared" si="31"/>
        <v>0</v>
      </c>
      <c r="BJ173" s="80">
        <f t="shared" si="32"/>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3"/>
        <v>0</v>
      </c>
      <c r="BH174" s="80">
        <f t="shared" si="30"/>
        <v>0</v>
      </c>
      <c r="BI174" s="80">
        <f t="shared" si="31"/>
        <v>0</v>
      </c>
      <c r="BJ174" s="80">
        <f t="shared" si="32"/>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3"/>
        <v>10691.47</v>
      </c>
      <c r="BH175" s="80">
        <f t="shared" si="30"/>
        <v>10691.47</v>
      </c>
      <c r="BI175" s="80">
        <f t="shared" si="31"/>
        <v>0</v>
      </c>
      <c r="BJ175" s="80">
        <f t="shared" si="32"/>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3"/>
        <v>0</v>
      </c>
      <c r="BH176" s="80">
        <f t="shared" si="30"/>
        <v>0</v>
      </c>
      <c r="BI176" s="80">
        <f t="shared" si="31"/>
        <v>0</v>
      </c>
      <c r="BJ176" s="80">
        <f t="shared" si="32"/>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3"/>
        <v>797894.04999999993</v>
      </c>
      <c r="BH177" s="80">
        <f t="shared" si="30"/>
        <v>479873.5</v>
      </c>
      <c r="BI177" s="80">
        <f t="shared" si="31"/>
        <v>264093.7</v>
      </c>
      <c r="BJ177" s="80">
        <f t="shared" si="32"/>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3"/>
        <v>0</v>
      </c>
      <c r="BH178" s="80">
        <f t="shared" si="30"/>
        <v>0</v>
      </c>
      <c r="BI178" s="80">
        <f t="shared" si="31"/>
        <v>0</v>
      </c>
      <c r="BJ178" s="80">
        <f t="shared" si="32"/>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3"/>
        <v>0</v>
      </c>
      <c r="BH179" s="80">
        <f t="shared" si="30"/>
        <v>0</v>
      </c>
      <c r="BI179" s="80">
        <f t="shared" si="31"/>
        <v>0</v>
      </c>
      <c r="BJ179" s="80">
        <f t="shared" si="32"/>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3"/>
        <v>0</v>
      </c>
      <c r="BH180" s="80">
        <f t="shared" si="30"/>
        <v>0</v>
      </c>
      <c r="BI180" s="80">
        <f t="shared" si="31"/>
        <v>0</v>
      </c>
      <c r="BJ180" s="80">
        <f t="shared" si="32"/>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3"/>
        <v>4500854.0999999996</v>
      </c>
      <c r="BH181" s="80">
        <f t="shared" si="30"/>
        <v>79546.899999999994</v>
      </c>
      <c r="BI181" s="80">
        <f t="shared" si="31"/>
        <v>4100000</v>
      </c>
      <c r="BJ181" s="80">
        <f t="shared" si="32"/>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8">G184+G185+G186+G187</f>
        <v>0</v>
      </c>
      <c r="H183" s="84">
        <f t="shared" si="38"/>
        <v>119639.3</v>
      </c>
      <c r="I183" s="84">
        <f t="shared" si="38"/>
        <v>74721.22</v>
      </c>
      <c r="J183" s="84">
        <f t="shared" si="38"/>
        <v>250734.75</v>
      </c>
      <c r="K183" s="84">
        <f t="shared" si="38"/>
        <v>1005390.6</v>
      </c>
      <c r="L183" s="84">
        <f t="shared" si="38"/>
        <v>312151.92</v>
      </c>
      <c r="M183" s="84">
        <f t="shared" si="38"/>
        <v>1871191.55</v>
      </c>
      <c r="N183" s="84">
        <f t="shared" si="38"/>
        <v>25354.95</v>
      </c>
      <c r="O183" s="84">
        <f t="shared" si="38"/>
        <v>141524.70000000001</v>
      </c>
      <c r="P183" s="84">
        <f t="shared" si="38"/>
        <v>787477.4</v>
      </c>
      <c r="Q183" s="84">
        <f t="shared" si="38"/>
        <v>18411.509999999998</v>
      </c>
      <c r="R183" s="84">
        <f t="shared" si="38"/>
        <v>0</v>
      </c>
      <c r="S183" s="84">
        <f t="shared" si="38"/>
        <v>14252</v>
      </c>
      <c r="T183" s="84">
        <f t="shared" si="38"/>
        <v>38026.949999999997</v>
      </c>
      <c r="U183" s="84">
        <f t="shared" si="38"/>
        <v>170104</v>
      </c>
      <c r="V183" s="84">
        <f t="shared" si="38"/>
        <v>36715.660000000003</v>
      </c>
      <c r="W183" s="84">
        <f t="shared" si="38"/>
        <v>444.87</v>
      </c>
      <c r="X183" s="84">
        <f t="shared" si="38"/>
        <v>576639.53</v>
      </c>
      <c r="Y183" s="84">
        <f t="shared" si="38"/>
        <v>0</v>
      </c>
      <c r="Z183" s="84">
        <f t="shared" si="38"/>
        <v>164826.5</v>
      </c>
      <c r="AA183" s="84">
        <f t="shared" si="38"/>
        <v>0</v>
      </c>
      <c r="AB183" s="84">
        <f t="shared" si="38"/>
        <v>0</v>
      </c>
      <c r="AC183" s="84">
        <f t="shared" si="38"/>
        <v>20628.79</v>
      </c>
      <c r="AD183" s="84">
        <f t="shared" si="38"/>
        <v>198580.28</v>
      </c>
      <c r="AE183" s="84">
        <f t="shared" si="38"/>
        <v>0</v>
      </c>
      <c r="AF183" s="84">
        <f t="shared" si="38"/>
        <v>72184.59</v>
      </c>
      <c r="AG183" s="84">
        <f t="shared" si="38"/>
        <v>91885.6</v>
      </c>
      <c r="AH183" s="84">
        <f t="shared" si="38"/>
        <v>520456.2</v>
      </c>
      <c r="AI183" s="84">
        <f t="shared" si="38"/>
        <v>849981.89</v>
      </c>
      <c r="AJ183" s="84">
        <f t="shared" si="38"/>
        <v>40435.1</v>
      </c>
      <c r="AK183" s="84">
        <f t="shared" si="38"/>
        <v>0</v>
      </c>
      <c r="AL183" s="84">
        <f t="shared" si="38"/>
        <v>0</v>
      </c>
      <c r="AM183" s="84">
        <f t="shared" si="38"/>
        <v>0</v>
      </c>
      <c r="AN183" s="84">
        <f t="shared" si="38"/>
        <v>52386.05</v>
      </c>
      <c r="AO183" s="84">
        <f t="shared" si="38"/>
        <v>0</v>
      </c>
      <c r="AP183" s="84">
        <f t="shared" si="38"/>
        <v>0</v>
      </c>
      <c r="AQ183" s="84">
        <f t="shared" si="38"/>
        <v>0</v>
      </c>
      <c r="AR183" s="84">
        <f t="shared" si="38"/>
        <v>50490.55</v>
      </c>
      <c r="AS183" s="84">
        <f t="shared" si="38"/>
        <v>197540.9</v>
      </c>
      <c r="AT183" s="84">
        <f t="shared" si="38"/>
        <v>12295.62</v>
      </c>
      <c r="AU183" s="84">
        <f t="shared" si="38"/>
        <v>79876.17</v>
      </c>
      <c r="AV183" s="84">
        <f t="shared" si="38"/>
        <v>16202.25</v>
      </c>
      <c r="AW183" s="84">
        <f t="shared" si="38"/>
        <v>0</v>
      </c>
      <c r="AX183" s="84">
        <f t="shared" si="38"/>
        <v>115817.3</v>
      </c>
      <c r="AY183" s="84">
        <f t="shared" si="38"/>
        <v>154987.65</v>
      </c>
      <c r="AZ183" s="84">
        <f t="shared" si="38"/>
        <v>24798.49</v>
      </c>
      <c r="BA183" s="84">
        <f t="shared" si="38"/>
        <v>68692.649999999994</v>
      </c>
      <c r="BB183" s="84">
        <f t="shared" si="38"/>
        <v>0</v>
      </c>
      <c r="BC183" s="84">
        <f t="shared" si="38"/>
        <v>5643.9</v>
      </c>
      <c r="BD183" s="84">
        <f t="shared" si="38"/>
        <v>0</v>
      </c>
      <c r="BE183" s="84">
        <f t="shared" si="38"/>
        <v>1146105.01</v>
      </c>
      <c r="BF183" s="84">
        <f t="shared" si="38"/>
        <v>0</v>
      </c>
      <c r="BG183" s="84">
        <f t="shared" si="33"/>
        <v>9404760.1000000015</v>
      </c>
      <c r="BH183" s="84">
        <f t="shared" si="30"/>
        <v>5520944.6100000013</v>
      </c>
      <c r="BI183" s="84">
        <f t="shared" si="31"/>
        <v>1958978.9500000002</v>
      </c>
      <c r="BJ183" s="84">
        <f t="shared" si="32"/>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3"/>
        <v>1044497.5499999999</v>
      </c>
      <c r="BH184" s="80">
        <f t="shared" si="30"/>
        <v>1044497.5499999999</v>
      </c>
      <c r="BI184" s="80">
        <f t="shared" si="31"/>
        <v>0</v>
      </c>
      <c r="BJ184" s="80">
        <f t="shared" si="32"/>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3"/>
        <v>8307896.3000000007</v>
      </c>
      <c r="BH185" s="80">
        <f t="shared" si="30"/>
        <v>4475947.0600000005</v>
      </c>
      <c r="BI185" s="80">
        <f t="shared" si="31"/>
        <v>1907112.7000000002</v>
      </c>
      <c r="BJ185" s="80">
        <f t="shared" si="32"/>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3"/>
        <v>500</v>
      </c>
      <c r="BH186" s="80">
        <f t="shared" si="30"/>
        <v>500</v>
      </c>
      <c r="BI186" s="80">
        <f t="shared" si="31"/>
        <v>0</v>
      </c>
      <c r="BJ186" s="80">
        <f t="shared" si="32"/>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3"/>
        <v>51866.25</v>
      </c>
      <c r="BH187" s="80">
        <f t="shared" si="30"/>
        <v>0</v>
      </c>
      <c r="BI187" s="80">
        <f t="shared" si="31"/>
        <v>51866.25</v>
      </c>
      <c r="BJ187" s="80">
        <f t="shared" si="32"/>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9">G190+G193+G197+G200+G203+G206+G209+G212+G215</f>
        <v>489947.82</v>
      </c>
      <c r="H189" s="86">
        <f t="shared" si="39"/>
        <v>242257.76</v>
      </c>
      <c r="I189" s="86">
        <f t="shared" si="39"/>
        <v>2478153.3600000003</v>
      </c>
      <c r="J189" s="86">
        <f t="shared" si="39"/>
        <v>10879188.16</v>
      </c>
      <c r="K189" s="86">
        <f t="shared" si="39"/>
        <v>7466060.8100000005</v>
      </c>
      <c r="L189" s="86">
        <f t="shared" si="39"/>
        <v>9902110.870000001</v>
      </c>
      <c r="M189" s="86">
        <f t="shared" si="39"/>
        <v>31445698.129999999</v>
      </c>
      <c r="N189" s="86">
        <f t="shared" si="39"/>
        <v>4109993.71</v>
      </c>
      <c r="O189" s="86">
        <f t="shared" si="39"/>
        <v>592146.18000000005</v>
      </c>
      <c r="P189" s="86">
        <f t="shared" si="39"/>
        <v>7719981.0300000012</v>
      </c>
      <c r="Q189" s="86">
        <f t="shared" si="39"/>
        <v>1516663.5100000002</v>
      </c>
      <c r="R189" s="86">
        <f t="shared" si="39"/>
        <v>218655.59</v>
      </c>
      <c r="S189" s="86">
        <f t="shared" si="39"/>
        <v>841563.2</v>
      </c>
      <c r="T189" s="86">
        <f t="shared" si="39"/>
        <v>974362.25</v>
      </c>
      <c r="U189" s="86">
        <f t="shared" si="39"/>
        <v>2986346.35</v>
      </c>
      <c r="V189" s="86">
        <f t="shared" si="39"/>
        <v>778606.28</v>
      </c>
      <c r="W189" s="86">
        <f t="shared" si="39"/>
        <v>732922.32000000007</v>
      </c>
      <c r="X189" s="86">
        <f t="shared" si="39"/>
        <v>5689759.8499999996</v>
      </c>
      <c r="Y189" s="86">
        <f t="shared" si="39"/>
        <v>3329459.15</v>
      </c>
      <c r="Z189" s="86">
        <f t="shared" si="39"/>
        <v>4003307.67</v>
      </c>
      <c r="AA189" s="86">
        <f t="shared" si="39"/>
        <v>18646639.780000001</v>
      </c>
      <c r="AB189" s="86">
        <f t="shared" si="39"/>
        <v>783430.4</v>
      </c>
      <c r="AC189" s="86">
        <f t="shared" si="39"/>
        <v>1756230.92</v>
      </c>
      <c r="AD189" s="86">
        <f t="shared" si="39"/>
        <v>1653734.19</v>
      </c>
      <c r="AE189" s="86">
        <f t="shared" si="39"/>
        <v>1692802.6300000001</v>
      </c>
      <c r="AF189" s="86">
        <f t="shared" si="39"/>
        <v>2850990.0300000003</v>
      </c>
      <c r="AG189" s="86">
        <f t="shared" si="39"/>
        <v>7189603.1100000013</v>
      </c>
      <c r="AH189" s="86">
        <f t="shared" si="39"/>
        <v>9329240.9800000004</v>
      </c>
      <c r="AI189" s="86">
        <f t="shared" si="39"/>
        <v>9305592.6500000004</v>
      </c>
      <c r="AJ189" s="86">
        <f t="shared" si="39"/>
        <v>2109625.8499999996</v>
      </c>
      <c r="AK189" s="86">
        <f t="shared" si="39"/>
        <v>2150451.9900000002</v>
      </c>
      <c r="AL189" s="86">
        <f t="shared" si="39"/>
        <v>4123303.76</v>
      </c>
      <c r="AM189" s="86">
        <f t="shared" si="39"/>
        <v>6031579.1799999997</v>
      </c>
      <c r="AN189" s="86">
        <f t="shared" si="39"/>
        <v>3517376.03</v>
      </c>
      <c r="AO189" s="86">
        <f t="shared" si="39"/>
        <v>1354915.12</v>
      </c>
      <c r="AP189" s="86">
        <f t="shared" si="39"/>
        <v>20764279.890000001</v>
      </c>
      <c r="AQ189" s="86">
        <f t="shared" si="39"/>
        <v>2862488.41</v>
      </c>
      <c r="AR189" s="86">
        <f t="shared" si="39"/>
        <v>2624411.96</v>
      </c>
      <c r="AS189" s="86">
        <f t="shared" si="39"/>
        <v>11016037.99</v>
      </c>
      <c r="AT189" s="86">
        <f t="shared" si="39"/>
        <v>2228140.11</v>
      </c>
      <c r="AU189" s="86">
        <f t="shared" si="39"/>
        <v>1689247.3599999999</v>
      </c>
      <c r="AV189" s="86">
        <f t="shared" si="39"/>
        <v>3800407.95</v>
      </c>
      <c r="AW189" s="86">
        <f t="shared" si="39"/>
        <v>7596912.5</v>
      </c>
      <c r="AX189" s="86">
        <f t="shared" si="39"/>
        <v>2726265.09</v>
      </c>
      <c r="AY189" s="86">
        <f t="shared" si="39"/>
        <v>645900.39</v>
      </c>
      <c r="AZ189" s="86">
        <f t="shared" si="39"/>
        <v>2043828.8900000001</v>
      </c>
      <c r="BA189" s="86">
        <f t="shared" si="39"/>
        <v>3415164.4699999997</v>
      </c>
      <c r="BB189" s="86">
        <f t="shared" si="39"/>
        <v>3310776.9499999997</v>
      </c>
      <c r="BC189" s="86">
        <f t="shared" si="39"/>
        <v>4674209.24</v>
      </c>
      <c r="BD189" s="86">
        <f t="shared" si="39"/>
        <v>1281823.19</v>
      </c>
      <c r="BE189" s="86">
        <f t="shared" si="39"/>
        <v>10716577.420000002</v>
      </c>
      <c r="BF189" s="86">
        <f t="shared" si="39"/>
        <v>1565660.9900000002</v>
      </c>
      <c r="BG189" s="86">
        <f t="shared" si="39"/>
        <v>256446002.21000004</v>
      </c>
      <c r="BH189" s="86">
        <f t="shared" si="39"/>
        <v>93655585.969999999</v>
      </c>
      <c r="BI189" s="86">
        <f t="shared" si="39"/>
        <v>64801109.349999994</v>
      </c>
      <c r="BJ189" s="86">
        <f t="shared" si="39"/>
        <v>97989306.889999986</v>
      </c>
    </row>
    <row r="190" spans="2:62" x14ac:dyDescent="0.25">
      <c r="C190" s="83">
        <v>290</v>
      </c>
      <c r="D190" s="83"/>
      <c r="E190" s="83" t="s">
        <v>261</v>
      </c>
      <c r="F190" s="84">
        <f>F191</f>
        <v>2151199.2599999998</v>
      </c>
      <c r="G190" s="84">
        <f t="shared" ref="G190:BF190" si="40">G191</f>
        <v>449776.9</v>
      </c>
      <c r="H190" s="84">
        <f t="shared" si="40"/>
        <v>381849.64</v>
      </c>
      <c r="I190" s="84">
        <f t="shared" si="40"/>
        <v>850748.95</v>
      </c>
      <c r="J190" s="84">
        <f t="shared" si="40"/>
        <v>5120387.05</v>
      </c>
      <c r="K190" s="84">
        <f t="shared" si="40"/>
        <v>4691010.37</v>
      </c>
      <c r="L190" s="84">
        <f t="shared" si="40"/>
        <v>2945700</v>
      </c>
      <c r="M190" s="84">
        <f t="shared" si="40"/>
        <v>23586793.18</v>
      </c>
      <c r="N190" s="84">
        <f t="shared" si="40"/>
        <v>1279527.93</v>
      </c>
      <c r="O190" s="84">
        <f t="shared" si="40"/>
        <v>46726.25</v>
      </c>
      <c r="P190" s="84">
        <f t="shared" si="40"/>
        <v>3888222.47</v>
      </c>
      <c r="Q190" s="84">
        <f t="shared" si="40"/>
        <v>616889.31000000006</v>
      </c>
      <c r="R190" s="84">
        <f t="shared" si="40"/>
        <v>142852.92000000001</v>
      </c>
      <c r="S190" s="84">
        <f t="shared" si="40"/>
        <v>420706.26</v>
      </c>
      <c r="T190" s="84">
        <f t="shared" si="40"/>
        <v>999520.8</v>
      </c>
      <c r="U190" s="84">
        <f t="shared" si="40"/>
        <v>1840450.1</v>
      </c>
      <c r="V190" s="84">
        <f t="shared" si="40"/>
        <v>368830.25</v>
      </c>
      <c r="W190" s="84">
        <f t="shared" si="40"/>
        <v>502533.89</v>
      </c>
      <c r="X190" s="84">
        <f t="shared" si="40"/>
        <v>2513866.7200000002</v>
      </c>
      <c r="Y190" s="84">
        <f t="shared" si="40"/>
        <v>746827.15</v>
      </c>
      <c r="Z190" s="84">
        <f t="shared" si="40"/>
        <v>989704.82</v>
      </c>
      <c r="AA190" s="84">
        <f t="shared" si="40"/>
        <v>1475371.4</v>
      </c>
      <c r="AB190" s="84">
        <f t="shared" si="40"/>
        <v>243629.44</v>
      </c>
      <c r="AC190" s="84">
        <f t="shared" si="40"/>
        <v>642526.47</v>
      </c>
      <c r="AD190" s="84">
        <f t="shared" si="40"/>
        <v>644124.35</v>
      </c>
      <c r="AE190" s="84">
        <f t="shared" si="40"/>
        <v>477396.96</v>
      </c>
      <c r="AF190" s="84">
        <f t="shared" si="40"/>
        <v>1309978.04</v>
      </c>
      <c r="AG190" s="84">
        <f t="shared" si="40"/>
        <v>2127895.16</v>
      </c>
      <c r="AH190" s="84">
        <f t="shared" si="40"/>
        <v>2327137.65</v>
      </c>
      <c r="AI190" s="84">
        <f t="shared" si="40"/>
        <v>6453734.9100000001</v>
      </c>
      <c r="AJ190" s="84">
        <f t="shared" si="40"/>
        <v>801637.7</v>
      </c>
      <c r="AK190" s="84">
        <f t="shared" si="40"/>
        <v>606478.41</v>
      </c>
      <c r="AL190" s="84">
        <f t="shared" si="40"/>
        <v>1735727.05</v>
      </c>
      <c r="AM190" s="84">
        <f t="shared" si="40"/>
        <v>1179153.1299999999</v>
      </c>
      <c r="AN190" s="84">
        <f t="shared" si="40"/>
        <v>674952.2</v>
      </c>
      <c r="AO190" s="84">
        <f t="shared" si="40"/>
        <v>323834.14</v>
      </c>
      <c r="AP190" s="84">
        <f t="shared" si="40"/>
        <v>3334013.19</v>
      </c>
      <c r="AQ190" s="84">
        <f t="shared" si="40"/>
        <v>660483.66</v>
      </c>
      <c r="AR190" s="84">
        <f t="shared" si="40"/>
        <v>607276.06000000006</v>
      </c>
      <c r="AS190" s="84">
        <f t="shared" si="40"/>
        <v>1818259.22</v>
      </c>
      <c r="AT190" s="84">
        <f t="shared" si="40"/>
        <v>1591267.79</v>
      </c>
      <c r="AU190" s="84">
        <f t="shared" si="40"/>
        <v>659497.97</v>
      </c>
      <c r="AV190" s="84">
        <f t="shared" si="40"/>
        <v>609924.11</v>
      </c>
      <c r="AW190" s="84">
        <f t="shared" si="40"/>
        <v>1625696.36</v>
      </c>
      <c r="AX190" s="84">
        <f t="shared" si="40"/>
        <v>1126536.26</v>
      </c>
      <c r="AY190" s="84">
        <f t="shared" si="40"/>
        <v>439901.99</v>
      </c>
      <c r="AZ190" s="84">
        <f t="shared" si="40"/>
        <v>937619.41</v>
      </c>
      <c r="BA190" s="84">
        <f t="shared" si="40"/>
        <v>833873.57</v>
      </c>
      <c r="BB190" s="84">
        <f t="shared" si="40"/>
        <v>1626639.69</v>
      </c>
      <c r="BC190" s="84">
        <f t="shared" si="40"/>
        <v>1645565.98</v>
      </c>
      <c r="BD190" s="84">
        <f t="shared" si="40"/>
        <v>332471.84000000003</v>
      </c>
      <c r="BE190" s="84">
        <f t="shared" si="40"/>
        <v>7751522.9199999999</v>
      </c>
      <c r="BF190" s="84">
        <f t="shared" si="40"/>
        <v>820358.56</v>
      </c>
      <c r="BG190" s="84">
        <f t="shared" si="33"/>
        <v>101978609.80999999</v>
      </c>
      <c r="BH190" s="84">
        <f t="shared" si="30"/>
        <v>52797592.25</v>
      </c>
      <c r="BI190" s="84">
        <f t="shared" si="31"/>
        <v>18846442.460000001</v>
      </c>
      <c r="BJ190" s="84">
        <f t="shared" si="32"/>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3"/>
        <v>101978609.80999999</v>
      </c>
      <c r="BH191" s="80">
        <f t="shared" si="30"/>
        <v>52797592.25</v>
      </c>
      <c r="BI191" s="80">
        <f t="shared" si="31"/>
        <v>18846442.460000001</v>
      </c>
      <c r="BJ191" s="80">
        <f t="shared" si="32"/>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1">G194+G195</f>
        <v>0</v>
      </c>
      <c r="H193" s="84">
        <f t="shared" si="41"/>
        <v>0</v>
      </c>
      <c r="I193" s="84">
        <f t="shared" si="41"/>
        <v>0</v>
      </c>
      <c r="J193" s="84">
        <f t="shared" si="41"/>
        <v>0</v>
      </c>
      <c r="K193" s="84">
        <f t="shared" si="41"/>
        <v>0</v>
      </c>
      <c r="L193" s="84">
        <f t="shared" si="41"/>
        <v>0</v>
      </c>
      <c r="M193" s="84">
        <f t="shared" si="41"/>
        <v>0</v>
      </c>
      <c r="N193" s="84">
        <f t="shared" si="41"/>
        <v>0</v>
      </c>
      <c r="O193" s="84">
        <f t="shared" si="41"/>
        <v>0</v>
      </c>
      <c r="P193" s="84">
        <f t="shared" si="41"/>
        <v>269724.81</v>
      </c>
      <c r="Q193" s="84">
        <f t="shared" si="41"/>
        <v>0</v>
      </c>
      <c r="R193" s="84">
        <f t="shared" si="41"/>
        <v>0</v>
      </c>
      <c r="S193" s="84">
        <f t="shared" si="41"/>
        <v>0</v>
      </c>
      <c r="T193" s="84">
        <f t="shared" si="41"/>
        <v>0</v>
      </c>
      <c r="U193" s="84">
        <f t="shared" si="41"/>
        <v>0</v>
      </c>
      <c r="V193" s="84">
        <f t="shared" si="41"/>
        <v>0</v>
      </c>
      <c r="W193" s="84">
        <f t="shared" si="41"/>
        <v>0</v>
      </c>
      <c r="X193" s="84">
        <f t="shared" si="41"/>
        <v>0</v>
      </c>
      <c r="Y193" s="84">
        <f t="shared" si="41"/>
        <v>0</v>
      </c>
      <c r="Z193" s="84">
        <f t="shared" si="41"/>
        <v>0</v>
      </c>
      <c r="AA193" s="84">
        <f t="shared" si="41"/>
        <v>0</v>
      </c>
      <c r="AB193" s="84">
        <f t="shared" si="41"/>
        <v>0</v>
      </c>
      <c r="AC193" s="84">
        <f t="shared" si="41"/>
        <v>20052.07</v>
      </c>
      <c r="AD193" s="84">
        <f t="shared" si="41"/>
        <v>0</v>
      </c>
      <c r="AE193" s="84">
        <f t="shared" si="41"/>
        <v>0</v>
      </c>
      <c r="AF193" s="84">
        <f t="shared" si="41"/>
        <v>0</v>
      </c>
      <c r="AG193" s="84">
        <f t="shared" si="41"/>
        <v>0</v>
      </c>
      <c r="AH193" s="84">
        <f t="shared" si="41"/>
        <v>0</v>
      </c>
      <c r="AI193" s="84">
        <f t="shared" si="41"/>
        <v>0</v>
      </c>
      <c r="AJ193" s="84">
        <f t="shared" si="41"/>
        <v>0</v>
      </c>
      <c r="AK193" s="84">
        <f t="shared" si="41"/>
        <v>101520.35</v>
      </c>
      <c r="AL193" s="84">
        <f t="shared" si="41"/>
        <v>0</v>
      </c>
      <c r="AM193" s="84">
        <f t="shared" si="41"/>
        <v>0</v>
      </c>
      <c r="AN193" s="84">
        <f t="shared" si="41"/>
        <v>0</v>
      </c>
      <c r="AO193" s="84">
        <f t="shared" si="41"/>
        <v>0</v>
      </c>
      <c r="AP193" s="84">
        <f t="shared" si="41"/>
        <v>223365.3</v>
      </c>
      <c r="AQ193" s="84">
        <f t="shared" si="41"/>
        <v>0</v>
      </c>
      <c r="AR193" s="84">
        <f t="shared" si="41"/>
        <v>0</v>
      </c>
      <c r="AS193" s="84">
        <f t="shared" si="41"/>
        <v>0</v>
      </c>
      <c r="AT193" s="84">
        <f t="shared" si="41"/>
        <v>0</v>
      </c>
      <c r="AU193" s="84">
        <f t="shared" si="41"/>
        <v>0</v>
      </c>
      <c r="AV193" s="84">
        <f t="shared" si="41"/>
        <v>0</v>
      </c>
      <c r="AW193" s="84">
        <f t="shared" si="41"/>
        <v>0</v>
      </c>
      <c r="AX193" s="84">
        <f t="shared" si="41"/>
        <v>393581.05</v>
      </c>
      <c r="AY193" s="84">
        <f t="shared" si="41"/>
        <v>0</v>
      </c>
      <c r="AZ193" s="84">
        <f t="shared" si="41"/>
        <v>0</v>
      </c>
      <c r="BA193" s="84">
        <f t="shared" si="41"/>
        <v>0</v>
      </c>
      <c r="BB193" s="84">
        <f t="shared" si="41"/>
        <v>0</v>
      </c>
      <c r="BC193" s="84">
        <f t="shared" si="41"/>
        <v>0</v>
      </c>
      <c r="BD193" s="84">
        <f t="shared" si="41"/>
        <v>0</v>
      </c>
      <c r="BE193" s="84">
        <f t="shared" si="41"/>
        <v>395983.95</v>
      </c>
      <c r="BF193" s="84">
        <f t="shared" si="41"/>
        <v>0</v>
      </c>
      <c r="BG193" s="84">
        <f t="shared" si="33"/>
        <v>1455148.63</v>
      </c>
      <c r="BH193" s="84">
        <f t="shared" si="30"/>
        <v>320645.90999999997</v>
      </c>
      <c r="BI193" s="84">
        <f t="shared" si="31"/>
        <v>121572.42000000001</v>
      </c>
      <c r="BJ193" s="84">
        <f t="shared" si="32"/>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3"/>
        <v>1185423.82</v>
      </c>
      <c r="BH194" s="80">
        <f t="shared" si="30"/>
        <v>50921.1</v>
      </c>
      <c r="BI194" s="80">
        <f t="shared" si="31"/>
        <v>121572.42000000001</v>
      </c>
      <c r="BJ194" s="80">
        <f t="shared" si="32"/>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3"/>
        <v>269724.81</v>
      </c>
      <c r="BH195" s="80">
        <f t="shared" si="30"/>
        <v>269724.81</v>
      </c>
      <c r="BI195" s="80">
        <f t="shared" si="31"/>
        <v>0</v>
      </c>
      <c r="BJ195" s="80">
        <f t="shared" si="32"/>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2">G198</f>
        <v>0</v>
      </c>
      <c r="H197" s="84">
        <f t="shared" si="42"/>
        <v>0</v>
      </c>
      <c r="I197" s="84">
        <f t="shared" si="42"/>
        <v>0</v>
      </c>
      <c r="J197" s="84">
        <f t="shared" si="42"/>
        <v>0</v>
      </c>
      <c r="K197" s="84">
        <f t="shared" si="42"/>
        <v>0</v>
      </c>
      <c r="L197" s="84">
        <f t="shared" si="42"/>
        <v>0</v>
      </c>
      <c r="M197" s="84">
        <f t="shared" si="42"/>
        <v>0</v>
      </c>
      <c r="N197" s="84">
        <f t="shared" si="42"/>
        <v>0</v>
      </c>
      <c r="O197" s="84">
        <f t="shared" si="42"/>
        <v>0</v>
      </c>
      <c r="P197" s="84">
        <f t="shared" si="42"/>
        <v>0</v>
      </c>
      <c r="Q197" s="84">
        <f t="shared" si="42"/>
        <v>0</v>
      </c>
      <c r="R197" s="84">
        <f t="shared" si="42"/>
        <v>0</v>
      </c>
      <c r="S197" s="84">
        <f t="shared" si="42"/>
        <v>0</v>
      </c>
      <c r="T197" s="84">
        <f t="shared" si="42"/>
        <v>0</v>
      </c>
      <c r="U197" s="84">
        <f t="shared" si="42"/>
        <v>176186</v>
      </c>
      <c r="V197" s="84">
        <f t="shared" si="42"/>
        <v>0</v>
      </c>
      <c r="W197" s="84">
        <f t="shared" si="42"/>
        <v>0</v>
      </c>
      <c r="X197" s="84">
        <f t="shared" si="42"/>
        <v>0</v>
      </c>
      <c r="Y197" s="84">
        <f t="shared" si="42"/>
        <v>0</v>
      </c>
      <c r="Z197" s="84">
        <f t="shared" si="42"/>
        <v>0</v>
      </c>
      <c r="AA197" s="84">
        <f t="shared" si="42"/>
        <v>105000</v>
      </c>
      <c r="AB197" s="84">
        <f t="shared" si="42"/>
        <v>81058.350000000006</v>
      </c>
      <c r="AC197" s="84">
        <f t="shared" si="42"/>
        <v>0</v>
      </c>
      <c r="AD197" s="84">
        <f t="shared" si="42"/>
        <v>0</v>
      </c>
      <c r="AE197" s="84">
        <f t="shared" si="42"/>
        <v>0</v>
      </c>
      <c r="AF197" s="84">
        <f t="shared" si="42"/>
        <v>0</v>
      </c>
      <c r="AG197" s="84">
        <f t="shared" si="42"/>
        <v>0</v>
      </c>
      <c r="AH197" s="84">
        <f t="shared" si="42"/>
        <v>120343.75</v>
      </c>
      <c r="AI197" s="84">
        <f t="shared" si="42"/>
        <v>0</v>
      </c>
      <c r="AJ197" s="84">
        <f t="shared" si="42"/>
        <v>0</v>
      </c>
      <c r="AK197" s="84">
        <f t="shared" si="42"/>
        <v>0</v>
      </c>
      <c r="AL197" s="84">
        <f t="shared" si="42"/>
        <v>0</v>
      </c>
      <c r="AM197" s="84">
        <f t="shared" si="42"/>
        <v>0</v>
      </c>
      <c r="AN197" s="84">
        <f t="shared" si="42"/>
        <v>0</v>
      </c>
      <c r="AO197" s="84">
        <f t="shared" si="42"/>
        <v>0</v>
      </c>
      <c r="AP197" s="84">
        <f t="shared" si="42"/>
        <v>0</v>
      </c>
      <c r="AQ197" s="84">
        <f t="shared" si="42"/>
        <v>0</v>
      </c>
      <c r="AR197" s="84">
        <f t="shared" si="42"/>
        <v>0</v>
      </c>
      <c r="AS197" s="84">
        <f t="shared" si="42"/>
        <v>0</v>
      </c>
      <c r="AT197" s="84">
        <f t="shared" si="42"/>
        <v>0</v>
      </c>
      <c r="AU197" s="84">
        <f t="shared" si="42"/>
        <v>0</v>
      </c>
      <c r="AV197" s="84">
        <f t="shared" si="42"/>
        <v>0</v>
      </c>
      <c r="AW197" s="84">
        <f t="shared" si="42"/>
        <v>0</v>
      </c>
      <c r="AX197" s="84">
        <f t="shared" si="42"/>
        <v>0</v>
      </c>
      <c r="AY197" s="84">
        <f t="shared" si="42"/>
        <v>3640</v>
      </c>
      <c r="AZ197" s="84">
        <f t="shared" si="42"/>
        <v>0</v>
      </c>
      <c r="BA197" s="84">
        <f t="shared" si="42"/>
        <v>0</v>
      </c>
      <c r="BB197" s="84">
        <f t="shared" si="42"/>
        <v>0</v>
      </c>
      <c r="BC197" s="84">
        <f t="shared" si="42"/>
        <v>0</v>
      </c>
      <c r="BD197" s="84">
        <f t="shared" si="42"/>
        <v>10267.65</v>
      </c>
      <c r="BE197" s="84">
        <f t="shared" si="42"/>
        <v>0</v>
      </c>
      <c r="BF197" s="84">
        <f t="shared" si="42"/>
        <v>0</v>
      </c>
      <c r="BG197" s="84">
        <f t="shared" si="33"/>
        <v>496495.75</v>
      </c>
      <c r="BH197" s="84">
        <f t="shared" si="30"/>
        <v>176186</v>
      </c>
      <c r="BI197" s="84">
        <f t="shared" si="31"/>
        <v>306402.09999999998</v>
      </c>
      <c r="BJ197" s="84">
        <f t="shared" si="32"/>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3"/>
        <v>496495.75</v>
      </c>
      <c r="BH198" s="80">
        <f t="shared" si="30"/>
        <v>176186</v>
      </c>
      <c r="BI198" s="80">
        <f t="shared" si="31"/>
        <v>306402.09999999998</v>
      </c>
      <c r="BJ198" s="80">
        <f t="shared" si="32"/>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3">G201</f>
        <v>0</v>
      </c>
      <c r="H200" s="84">
        <f t="shared" si="43"/>
        <v>0</v>
      </c>
      <c r="I200" s="84">
        <f t="shared" si="43"/>
        <v>270853.28999999998</v>
      </c>
      <c r="J200" s="84">
        <f t="shared" si="43"/>
        <v>0</v>
      </c>
      <c r="K200" s="84">
        <f t="shared" si="43"/>
        <v>0</v>
      </c>
      <c r="L200" s="84">
        <f t="shared" si="43"/>
        <v>0</v>
      </c>
      <c r="M200" s="84">
        <f t="shared" si="43"/>
        <v>4076651</v>
      </c>
      <c r="N200" s="84">
        <f t="shared" si="43"/>
        <v>1392097.95</v>
      </c>
      <c r="O200" s="84">
        <f t="shared" si="43"/>
        <v>0</v>
      </c>
      <c r="P200" s="84">
        <f t="shared" si="43"/>
        <v>2628853.6800000002</v>
      </c>
      <c r="Q200" s="84">
        <f t="shared" si="43"/>
        <v>0</v>
      </c>
      <c r="R200" s="84">
        <f t="shared" si="43"/>
        <v>6310.55</v>
      </c>
      <c r="S200" s="84">
        <f t="shared" si="43"/>
        <v>0</v>
      </c>
      <c r="T200" s="84">
        <f t="shared" si="43"/>
        <v>0</v>
      </c>
      <c r="U200" s="84">
        <f t="shared" si="43"/>
        <v>0</v>
      </c>
      <c r="V200" s="84">
        <f t="shared" si="43"/>
        <v>0</v>
      </c>
      <c r="W200" s="84">
        <f t="shared" si="43"/>
        <v>0</v>
      </c>
      <c r="X200" s="84">
        <f t="shared" si="43"/>
        <v>0</v>
      </c>
      <c r="Y200" s="84">
        <f t="shared" si="43"/>
        <v>0</v>
      </c>
      <c r="Z200" s="84">
        <f t="shared" si="43"/>
        <v>0</v>
      </c>
      <c r="AA200" s="84">
        <f t="shared" si="43"/>
        <v>0</v>
      </c>
      <c r="AB200" s="84">
        <f t="shared" si="43"/>
        <v>0</v>
      </c>
      <c r="AC200" s="84">
        <f t="shared" si="43"/>
        <v>0</v>
      </c>
      <c r="AD200" s="84">
        <f t="shared" si="43"/>
        <v>0</v>
      </c>
      <c r="AE200" s="84">
        <f t="shared" si="43"/>
        <v>0</v>
      </c>
      <c r="AF200" s="84">
        <f t="shared" si="43"/>
        <v>0</v>
      </c>
      <c r="AG200" s="84">
        <f t="shared" si="43"/>
        <v>0</v>
      </c>
      <c r="AH200" s="84">
        <f t="shared" si="43"/>
        <v>0</v>
      </c>
      <c r="AI200" s="84">
        <f t="shared" si="43"/>
        <v>0</v>
      </c>
      <c r="AJ200" s="84">
        <f t="shared" si="43"/>
        <v>0</v>
      </c>
      <c r="AK200" s="84">
        <f t="shared" si="43"/>
        <v>0</v>
      </c>
      <c r="AL200" s="84">
        <f t="shared" si="43"/>
        <v>0</v>
      </c>
      <c r="AM200" s="84">
        <f t="shared" si="43"/>
        <v>0</v>
      </c>
      <c r="AN200" s="84">
        <f t="shared" si="43"/>
        <v>0</v>
      </c>
      <c r="AO200" s="84">
        <f t="shared" si="43"/>
        <v>0</v>
      </c>
      <c r="AP200" s="84">
        <f t="shared" si="43"/>
        <v>6730000</v>
      </c>
      <c r="AQ200" s="84">
        <f t="shared" si="43"/>
        <v>0</v>
      </c>
      <c r="AR200" s="84">
        <f t="shared" si="43"/>
        <v>0</v>
      </c>
      <c r="AS200" s="84">
        <f t="shared" si="43"/>
        <v>138049.29999999999</v>
      </c>
      <c r="AT200" s="84">
        <f t="shared" si="43"/>
        <v>0</v>
      </c>
      <c r="AU200" s="84">
        <f t="shared" si="43"/>
        <v>188332</v>
      </c>
      <c r="AV200" s="84">
        <f t="shared" si="43"/>
        <v>0</v>
      </c>
      <c r="AW200" s="84">
        <f t="shared" si="43"/>
        <v>157725.4</v>
      </c>
      <c r="AX200" s="84">
        <f t="shared" si="43"/>
        <v>0</v>
      </c>
      <c r="AY200" s="84">
        <f t="shared" si="43"/>
        <v>0</v>
      </c>
      <c r="AZ200" s="84">
        <f t="shared" si="43"/>
        <v>0</v>
      </c>
      <c r="BA200" s="84">
        <f t="shared" si="43"/>
        <v>0</v>
      </c>
      <c r="BB200" s="84">
        <f t="shared" si="43"/>
        <v>0</v>
      </c>
      <c r="BC200" s="84">
        <f t="shared" si="43"/>
        <v>0</v>
      </c>
      <c r="BD200" s="84">
        <f t="shared" si="43"/>
        <v>0</v>
      </c>
      <c r="BE200" s="84">
        <f t="shared" si="43"/>
        <v>0</v>
      </c>
      <c r="BF200" s="84">
        <f t="shared" si="43"/>
        <v>0</v>
      </c>
      <c r="BG200" s="84">
        <f t="shared" ref="BG200:BG215" si="44">SUM(F200:BF200)</f>
        <v>15588873.17</v>
      </c>
      <c r="BH200" s="84">
        <f t="shared" ref="BH200:BH217" si="45">SUM(F200:X200)</f>
        <v>8374766.4699999997</v>
      </c>
      <c r="BI200" s="84">
        <f t="shared" ref="BI200:BI217" si="46">SUM(Y200:AK200)</f>
        <v>0</v>
      </c>
      <c r="BJ200" s="84">
        <f t="shared" ref="BJ200:BJ217" si="47">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4"/>
        <v>15588873.17</v>
      </c>
      <c r="BH201" s="80">
        <f t="shared" si="45"/>
        <v>8374766.4699999997</v>
      </c>
      <c r="BI201" s="80">
        <f t="shared" si="46"/>
        <v>0</v>
      </c>
      <c r="BJ201" s="80">
        <f t="shared" si="47"/>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8">G204</f>
        <v>0</v>
      </c>
      <c r="H203" s="84">
        <f t="shared" si="48"/>
        <v>52</v>
      </c>
      <c r="I203" s="84">
        <f t="shared" si="48"/>
        <v>184000</v>
      </c>
      <c r="J203" s="84">
        <f t="shared" si="48"/>
        <v>470000</v>
      </c>
      <c r="K203" s="84">
        <f t="shared" si="48"/>
        <v>600000</v>
      </c>
      <c r="L203" s="84">
        <f t="shared" si="48"/>
        <v>452808.34</v>
      </c>
      <c r="M203" s="84">
        <f t="shared" si="48"/>
        <v>3150000</v>
      </c>
      <c r="N203" s="84">
        <f t="shared" si="48"/>
        <v>360000</v>
      </c>
      <c r="O203" s="84">
        <f t="shared" si="48"/>
        <v>0</v>
      </c>
      <c r="P203" s="84">
        <f t="shared" si="48"/>
        <v>604600</v>
      </c>
      <c r="Q203" s="84">
        <f t="shared" si="48"/>
        <v>29578.3</v>
      </c>
      <c r="R203" s="84">
        <f t="shared" si="48"/>
        <v>14000</v>
      </c>
      <c r="S203" s="84">
        <f t="shared" si="48"/>
        <v>119000</v>
      </c>
      <c r="T203" s="84">
        <f t="shared" si="48"/>
        <v>210000</v>
      </c>
      <c r="U203" s="84">
        <f t="shared" si="48"/>
        <v>0</v>
      </c>
      <c r="V203" s="84">
        <f t="shared" si="48"/>
        <v>40000</v>
      </c>
      <c r="W203" s="84">
        <f t="shared" si="48"/>
        <v>0</v>
      </c>
      <c r="X203" s="84">
        <f t="shared" si="48"/>
        <v>1204350</v>
      </c>
      <c r="Y203" s="84">
        <f t="shared" si="48"/>
        <v>200000</v>
      </c>
      <c r="Z203" s="84">
        <f t="shared" si="48"/>
        <v>0</v>
      </c>
      <c r="AA203" s="84">
        <f t="shared" si="48"/>
        <v>4500000</v>
      </c>
      <c r="AB203" s="84">
        <f t="shared" si="48"/>
        <v>99214.98</v>
      </c>
      <c r="AC203" s="84">
        <f t="shared" si="48"/>
        <v>0</v>
      </c>
      <c r="AD203" s="84">
        <f t="shared" si="48"/>
        <v>190000</v>
      </c>
      <c r="AE203" s="84">
        <f t="shared" si="48"/>
        <v>178794.63</v>
      </c>
      <c r="AF203" s="84">
        <f t="shared" si="48"/>
        <v>365000</v>
      </c>
      <c r="AG203" s="84">
        <f t="shared" si="48"/>
        <v>437550.65</v>
      </c>
      <c r="AH203" s="84">
        <f t="shared" si="48"/>
        <v>1166475.8999999999</v>
      </c>
      <c r="AI203" s="84">
        <f t="shared" si="48"/>
        <v>950000</v>
      </c>
      <c r="AJ203" s="84">
        <f t="shared" si="48"/>
        <v>180000</v>
      </c>
      <c r="AK203" s="84">
        <f t="shared" si="48"/>
        <v>84000</v>
      </c>
      <c r="AL203" s="84">
        <f t="shared" si="48"/>
        <v>1642371.25</v>
      </c>
      <c r="AM203" s="84">
        <f t="shared" si="48"/>
        <v>1463440.64</v>
      </c>
      <c r="AN203" s="84">
        <f t="shared" si="48"/>
        <v>207634.72</v>
      </c>
      <c r="AO203" s="84">
        <f t="shared" si="48"/>
        <v>0</v>
      </c>
      <c r="AP203" s="84">
        <f t="shared" si="48"/>
        <v>1200000</v>
      </c>
      <c r="AQ203" s="84">
        <f t="shared" si="48"/>
        <v>342804.5</v>
      </c>
      <c r="AR203" s="84">
        <f t="shared" si="48"/>
        <v>770000</v>
      </c>
      <c r="AS203" s="84">
        <f t="shared" si="48"/>
        <v>1491500.6</v>
      </c>
      <c r="AT203" s="84">
        <f t="shared" si="48"/>
        <v>275000</v>
      </c>
      <c r="AU203" s="84">
        <f t="shared" si="48"/>
        <v>300000</v>
      </c>
      <c r="AV203" s="84">
        <f t="shared" si="48"/>
        <v>50000</v>
      </c>
      <c r="AW203" s="84">
        <f t="shared" si="48"/>
        <v>813910.35</v>
      </c>
      <c r="AX203" s="84">
        <f t="shared" si="48"/>
        <v>630000</v>
      </c>
      <c r="AY203" s="84">
        <f t="shared" si="48"/>
        <v>0</v>
      </c>
      <c r="AZ203" s="84">
        <f t="shared" si="48"/>
        <v>300279.45</v>
      </c>
      <c r="BA203" s="84">
        <f t="shared" si="48"/>
        <v>460000</v>
      </c>
      <c r="BB203" s="84">
        <f t="shared" si="48"/>
        <v>209758.45</v>
      </c>
      <c r="BC203" s="84">
        <f t="shared" si="48"/>
        <v>200000</v>
      </c>
      <c r="BD203" s="84">
        <f t="shared" si="48"/>
        <v>166601.79999999999</v>
      </c>
      <c r="BE203" s="84">
        <f t="shared" si="48"/>
        <v>1400000</v>
      </c>
      <c r="BF203" s="84">
        <f t="shared" si="48"/>
        <v>60000</v>
      </c>
      <c r="BG203" s="84">
        <f t="shared" si="44"/>
        <v>28092726.560000006</v>
      </c>
      <c r="BH203" s="84">
        <f t="shared" si="45"/>
        <v>7758388.6399999997</v>
      </c>
      <c r="BI203" s="84">
        <f t="shared" si="46"/>
        <v>8351036.1600000001</v>
      </c>
      <c r="BJ203" s="84">
        <f t="shared" si="47"/>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4"/>
        <v>28092726.560000006</v>
      </c>
      <c r="BH204" s="80">
        <f t="shared" si="45"/>
        <v>7758388.6399999997</v>
      </c>
      <c r="BI204" s="80">
        <f t="shared" si="46"/>
        <v>8351036.1600000001</v>
      </c>
      <c r="BJ204" s="80">
        <f t="shared" si="47"/>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9">G207</f>
        <v>0</v>
      </c>
      <c r="H206" s="84">
        <f>H207</f>
        <v>0</v>
      </c>
      <c r="I206" s="84">
        <f t="shared" si="49"/>
        <v>0</v>
      </c>
      <c r="J206" s="84">
        <f t="shared" si="49"/>
        <v>0</v>
      </c>
      <c r="K206" s="84">
        <f t="shared" si="49"/>
        <v>60100</v>
      </c>
      <c r="L206" s="84">
        <f t="shared" si="49"/>
        <v>0</v>
      </c>
      <c r="M206" s="84">
        <f t="shared" si="49"/>
        <v>0</v>
      </c>
      <c r="N206" s="84">
        <f t="shared" si="49"/>
        <v>0</v>
      </c>
      <c r="O206" s="84">
        <f t="shared" si="49"/>
        <v>0</v>
      </c>
      <c r="P206" s="84">
        <f t="shared" si="49"/>
        <v>0</v>
      </c>
      <c r="Q206" s="84">
        <f t="shared" si="49"/>
        <v>0</v>
      </c>
      <c r="R206" s="84">
        <f t="shared" si="49"/>
        <v>0</v>
      </c>
      <c r="S206" s="84">
        <f t="shared" si="49"/>
        <v>0</v>
      </c>
      <c r="T206" s="84">
        <f t="shared" si="49"/>
        <v>0</v>
      </c>
      <c r="U206" s="84">
        <f t="shared" si="49"/>
        <v>0</v>
      </c>
      <c r="V206" s="84">
        <f t="shared" si="49"/>
        <v>0</v>
      </c>
      <c r="W206" s="84">
        <f t="shared" si="49"/>
        <v>0</v>
      </c>
      <c r="X206" s="84">
        <f t="shared" si="49"/>
        <v>0</v>
      </c>
      <c r="Y206" s="84">
        <f t="shared" si="49"/>
        <v>0</v>
      </c>
      <c r="Z206" s="84">
        <f t="shared" si="49"/>
        <v>0</v>
      </c>
      <c r="AA206" s="84">
        <f t="shared" si="49"/>
        <v>0</v>
      </c>
      <c r="AB206" s="84">
        <f t="shared" si="49"/>
        <v>0</v>
      </c>
      <c r="AC206" s="84">
        <f t="shared" si="49"/>
        <v>0</v>
      </c>
      <c r="AD206" s="84">
        <f t="shared" si="49"/>
        <v>0</v>
      </c>
      <c r="AE206" s="84">
        <f t="shared" si="49"/>
        <v>387176.05</v>
      </c>
      <c r="AF206" s="84">
        <f t="shared" si="49"/>
        <v>0</v>
      </c>
      <c r="AG206" s="84">
        <f t="shared" si="49"/>
        <v>0</v>
      </c>
      <c r="AH206" s="84">
        <f t="shared" si="49"/>
        <v>0</v>
      </c>
      <c r="AI206" s="84">
        <f t="shared" si="49"/>
        <v>0</v>
      </c>
      <c r="AJ206" s="84">
        <f t="shared" si="49"/>
        <v>0</v>
      </c>
      <c r="AK206" s="84">
        <f t="shared" si="49"/>
        <v>0</v>
      </c>
      <c r="AL206" s="84">
        <f t="shared" si="49"/>
        <v>0</v>
      </c>
      <c r="AM206" s="84">
        <f t="shared" si="49"/>
        <v>0</v>
      </c>
      <c r="AN206" s="84">
        <f t="shared" si="49"/>
        <v>0</v>
      </c>
      <c r="AO206" s="84">
        <f t="shared" si="49"/>
        <v>50507.25</v>
      </c>
      <c r="AP206" s="84">
        <f t="shared" si="49"/>
        <v>0</v>
      </c>
      <c r="AQ206" s="84">
        <f t="shared" si="49"/>
        <v>0</v>
      </c>
      <c r="AR206" s="84">
        <f t="shared" si="49"/>
        <v>0</v>
      </c>
      <c r="AS206" s="84">
        <f t="shared" si="49"/>
        <v>0</v>
      </c>
      <c r="AT206" s="84">
        <f t="shared" si="49"/>
        <v>0</v>
      </c>
      <c r="AU206" s="84">
        <f t="shared" si="49"/>
        <v>0</v>
      </c>
      <c r="AV206" s="84">
        <f t="shared" si="49"/>
        <v>0</v>
      </c>
      <c r="AW206" s="84">
        <f t="shared" si="49"/>
        <v>0</v>
      </c>
      <c r="AX206" s="84">
        <f t="shared" si="49"/>
        <v>0</v>
      </c>
      <c r="AY206" s="84">
        <f t="shared" si="49"/>
        <v>0</v>
      </c>
      <c r="AZ206" s="84">
        <f t="shared" si="49"/>
        <v>0</v>
      </c>
      <c r="BA206" s="84">
        <f t="shared" si="49"/>
        <v>0</v>
      </c>
      <c r="BB206" s="84">
        <f t="shared" si="49"/>
        <v>0</v>
      </c>
      <c r="BC206" s="84">
        <f t="shared" si="49"/>
        <v>0</v>
      </c>
      <c r="BD206" s="84">
        <f t="shared" si="49"/>
        <v>0</v>
      </c>
      <c r="BE206" s="84">
        <f t="shared" si="49"/>
        <v>0</v>
      </c>
      <c r="BF206" s="84">
        <f t="shared" si="49"/>
        <v>0</v>
      </c>
      <c r="BG206" s="84">
        <f t="shared" si="44"/>
        <v>497783.3</v>
      </c>
      <c r="BH206" s="84">
        <f t="shared" si="45"/>
        <v>60100</v>
      </c>
      <c r="BI206" s="84">
        <f t="shared" si="46"/>
        <v>387176.05</v>
      </c>
      <c r="BJ206" s="84">
        <f t="shared" si="47"/>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4"/>
        <v>497783.3</v>
      </c>
      <c r="BH207" s="80">
        <f t="shared" si="45"/>
        <v>60100</v>
      </c>
      <c r="BI207" s="80">
        <f t="shared" si="46"/>
        <v>387176.05</v>
      </c>
      <c r="BJ207" s="80">
        <f t="shared" si="47"/>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50">G210</f>
        <v>-87320</v>
      </c>
      <c r="H209" s="84">
        <f t="shared" si="50"/>
        <v>0</v>
      </c>
      <c r="I209" s="84">
        <f t="shared" si="50"/>
        <v>240</v>
      </c>
      <c r="J209" s="84">
        <f t="shared" si="50"/>
        <v>386612.35</v>
      </c>
      <c r="K209" s="84">
        <f t="shared" si="50"/>
        <v>0</v>
      </c>
      <c r="L209" s="84">
        <f t="shared" si="50"/>
        <v>3685377.4</v>
      </c>
      <c r="M209" s="84">
        <f t="shared" si="50"/>
        <v>-3009318</v>
      </c>
      <c r="N209" s="84">
        <f t="shared" si="50"/>
        <v>0</v>
      </c>
      <c r="O209" s="84">
        <f t="shared" si="50"/>
        <v>0</v>
      </c>
      <c r="P209" s="84">
        <f t="shared" si="50"/>
        <v>0</v>
      </c>
      <c r="Q209" s="84">
        <f t="shared" si="50"/>
        <v>0</v>
      </c>
      <c r="R209" s="84">
        <f t="shared" si="50"/>
        <v>0</v>
      </c>
      <c r="S209" s="84">
        <f t="shared" si="50"/>
        <v>50000</v>
      </c>
      <c r="T209" s="84">
        <f t="shared" si="50"/>
        <v>0</v>
      </c>
      <c r="U209" s="84">
        <f t="shared" si="50"/>
        <v>0</v>
      </c>
      <c r="V209" s="84">
        <f t="shared" si="50"/>
        <v>0</v>
      </c>
      <c r="W209" s="84">
        <f t="shared" si="50"/>
        <v>0</v>
      </c>
      <c r="X209" s="84">
        <f t="shared" si="50"/>
        <v>269873</v>
      </c>
      <c r="Y209" s="84">
        <f t="shared" si="50"/>
        <v>0</v>
      </c>
      <c r="Z209" s="84">
        <f t="shared" si="50"/>
        <v>0</v>
      </c>
      <c r="AA209" s="84">
        <f t="shared" si="50"/>
        <v>1104064</v>
      </c>
      <c r="AB209" s="84">
        <f t="shared" si="50"/>
        <v>0</v>
      </c>
      <c r="AC209" s="84">
        <f t="shared" si="50"/>
        <v>0</v>
      </c>
      <c r="AD209" s="84">
        <f t="shared" si="50"/>
        <v>0</v>
      </c>
      <c r="AE209" s="84">
        <f t="shared" si="50"/>
        <v>0</v>
      </c>
      <c r="AF209" s="84">
        <f t="shared" si="50"/>
        <v>0</v>
      </c>
      <c r="AG209" s="84">
        <f t="shared" si="50"/>
        <v>0</v>
      </c>
      <c r="AH209" s="84">
        <f t="shared" si="50"/>
        <v>1733477.95</v>
      </c>
      <c r="AI209" s="84">
        <f t="shared" si="50"/>
        <v>0</v>
      </c>
      <c r="AJ209" s="84">
        <f t="shared" si="50"/>
        <v>0</v>
      </c>
      <c r="AK209" s="84">
        <f t="shared" si="50"/>
        <v>0</v>
      </c>
      <c r="AL209" s="84">
        <f t="shared" si="50"/>
        <v>0</v>
      </c>
      <c r="AM209" s="84">
        <f t="shared" si="50"/>
        <v>0</v>
      </c>
      <c r="AN209" s="84">
        <f t="shared" si="50"/>
        <v>0</v>
      </c>
      <c r="AO209" s="84">
        <f t="shared" si="50"/>
        <v>466852.64</v>
      </c>
      <c r="AP209" s="84">
        <f t="shared" si="50"/>
        <v>2342125</v>
      </c>
      <c r="AQ209" s="84">
        <f t="shared" si="50"/>
        <v>0</v>
      </c>
      <c r="AR209" s="84">
        <f t="shared" si="50"/>
        <v>0</v>
      </c>
      <c r="AS209" s="84">
        <f t="shared" si="50"/>
        <v>0</v>
      </c>
      <c r="AT209" s="84">
        <f t="shared" si="50"/>
        <v>0</v>
      </c>
      <c r="AU209" s="84">
        <f t="shared" si="50"/>
        <v>3679</v>
      </c>
      <c r="AV209" s="84">
        <f t="shared" si="50"/>
        <v>0</v>
      </c>
      <c r="AW209" s="84">
        <f t="shared" si="50"/>
        <v>0</v>
      </c>
      <c r="AX209" s="84">
        <f t="shared" si="50"/>
        <v>0</v>
      </c>
      <c r="AY209" s="84">
        <f t="shared" si="50"/>
        <v>0</v>
      </c>
      <c r="AZ209" s="84">
        <f t="shared" si="50"/>
        <v>213206.65</v>
      </c>
      <c r="BA209" s="84">
        <f t="shared" si="50"/>
        <v>0</v>
      </c>
      <c r="BB209" s="84">
        <f t="shared" si="50"/>
        <v>0</v>
      </c>
      <c r="BC209" s="84">
        <f t="shared" si="50"/>
        <v>462000</v>
      </c>
      <c r="BD209" s="84">
        <f t="shared" si="50"/>
        <v>0</v>
      </c>
      <c r="BE209" s="84">
        <f t="shared" si="50"/>
        <v>0</v>
      </c>
      <c r="BF209" s="84">
        <f t="shared" si="50"/>
        <v>0</v>
      </c>
      <c r="BG209" s="84">
        <f t="shared" si="44"/>
        <v>7620869.9900000002</v>
      </c>
      <c r="BH209" s="84">
        <f t="shared" si="45"/>
        <v>1295464.75</v>
      </c>
      <c r="BI209" s="84">
        <f t="shared" si="46"/>
        <v>2837541.95</v>
      </c>
      <c r="BJ209" s="84">
        <f t="shared" si="47"/>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4"/>
        <v>7620869.9900000002</v>
      </c>
      <c r="BH210" s="80">
        <f t="shared" si="45"/>
        <v>1295464.75</v>
      </c>
      <c r="BI210" s="80">
        <f t="shared" si="46"/>
        <v>2837541.95</v>
      </c>
      <c r="BJ210" s="80">
        <f t="shared" si="47"/>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 t="shared" si="51"/>
        <v>0</v>
      </c>
      <c r="T212" s="84">
        <f t="shared" si="51"/>
        <v>0</v>
      </c>
      <c r="U212" s="84">
        <f t="shared" si="51"/>
        <v>0</v>
      </c>
      <c r="V212" s="84">
        <f t="shared" si="51"/>
        <v>0</v>
      </c>
      <c r="W212" s="84">
        <f t="shared" si="51"/>
        <v>0</v>
      </c>
      <c r="X212" s="84">
        <f t="shared" si="51"/>
        <v>0</v>
      </c>
      <c r="Y212" s="84">
        <f t="shared" si="51"/>
        <v>0</v>
      </c>
      <c r="Z212" s="84">
        <f t="shared" si="51"/>
        <v>0</v>
      </c>
      <c r="AA212" s="84">
        <f t="shared" si="51"/>
        <v>0</v>
      </c>
      <c r="AB212" s="84">
        <f t="shared" si="51"/>
        <v>0</v>
      </c>
      <c r="AC212" s="84">
        <f t="shared" si="51"/>
        <v>0</v>
      </c>
      <c r="AD212" s="84">
        <f t="shared" si="51"/>
        <v>0</v>
      </c>
      <c r="AE212" s="84">
        <f t="shared" si="51"/>
        <v>0</v>
      </c>
      <c r="AF212" s="84">
        <f t="shared" si="51"/>
        <v>0</v>
      </c>
      <c r="AG212" s="84">
        <f t="shared" si="51"/>
        <v>0</v>
      </c>
      <c r="AH212" s="84">
        <f t="shared" si="51"/>
        <v>0</v>
      </c>
      <c r="AI212" s="84">
        <f t="shared" si="51"/>
        <v>0</v>
      </c>
      <c r="AJ212" s="84">
        <f t="shared" si="51"/>
        <v>0</v>
      </c>
      <c r="AK212" s="84">
        <f t="shared" si="51"/>
        <v>0</v>
      </c>
      <c r="AL212" s="84">
        <f t="shared" si="51"/>
        <v>0</v>
      </c>
      <c r="AM212" s="84">
        <f t="shared" si="51"/>
        <v>0</v>
      </c>
      <c r="AN212" s="84">
        <f t="shared" si="51"/>
        <v>0</v>
      </c>
      <c r="AO212" s="84">
        <f t="shared" si="51"/>
        <v>0</v>
      </c>
      <c r="AP212" s="84">
        <f t="shared" si="51"/>
        <v>0</v>
      </c>
      <c r="AQ212" s="84">
        <f t="shared" si="51"/>
        <v>0</v>
      </c>
      <c r="AR212" s="84">
        <f t="shared" si="51"/>
        <v>0</v>
      </c>
      <c r="AS212" s="84">
        <f t="shared" si="51"/>
        <v>0</v>
      </c>
      <c r="AT212" s="84">
        <f t="shared" si="51"/>
        <v>0</v>
      </c>
      <c r="AU212" s="84">
        <f t="shared" si="51"/>
        <v>0</v>
      </c>
      <c r="AV212" s="84">
        <f t="shared" si="51"/>
        <v>146768.70000000001</v>
      </c>
      <c r="AW212" s="84">
        <f t="shared" si="51"/>
        <v>0</v>
      </c>
      <c r="AX212" s="84">
        <f t="shared" si="51"/>
        <v>0</v>
      </c>
      <c r="AY212" s="84">
        <f t="shared" si="51"/>
        <v>0</v>
      </c>
      <c r="AZ212" s="84">
        <f t="shared" si="51"/>
        <v>0</v>
      </c>
      <c r="BA212" s="84">
        <f t="shared" si="51"/>
        <v>0</v>
      </c>
      <c r="BB212" s="84">
        <f t="shared" si="51"/>
        <v>0</v>
      </c>
      <c r="BC212" s="84">
        <f t="shared" si="51"/>
        <v>0</v>
      </c>
      <c r="BD212" s="84">
        <f t="shared" si="51"/>
        <v>0</v>
      </c>
      <c r="BE212" s="84">
        <f t="shared" si="51"/>
        <v>0</v>
      </c>
      <c r="BF212" s="84">
        <f t="shared" si="51"/>
        <v>0</v>
      </c>
      <c r="BG212" s="84">
        <f t="shared" si="44"/>
        <v>146768.70000000001</v>
      </c>
      <c r="BH212" s="84">
        <f t="shared" si="45"/>
        <v>0</v>
      </c>
      <c r="BI212" s="84">
        <f t="shared" si="46"/>
        <v>0</v>
      </c>
      <c r="BJ212" s="84">
        <f t="shared" si="47"/>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4"/>
        <v>146768.70000000001</v>
      </c>
      <c r="BH213" s="80">
        <f t="shared" si="45"/>
        <v>0</v>
      </c>
      <c r="BI213" s="80">
        <f t="shared" si="46"/>
        <v>0</v>
      </c>
      <c r="BJ213" s="80">
        <f t="shared" si="47"/>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2">G216+G217</f>
        <v>127490.92</v>
      </c>
      <c r="H215" s="84">
        <f t="shared" si="52"/>
        <v>-139643.88</v>
      </c>
      <c r="I215" s="84">
        <f t="shared" si="52"/>
        <v>1172311.1200000001</v>
      </c>
      <c r="J215" s="84">
        <f t="shared" si="52"/>
        <v>4902188.76</v>
      </c>
      <c r="K215" s="84">
        <f t="shared" si="52"/>
        <v>2114950.44</v>
      </c>
      <c r="L215" s="84">
        <f t="shared" si="52"/>
        <v>2818225.13</v>
      </c>
      <c r="M215" s="84">
        <f t="shared" si="52"/>
        <v>3641571.9499999997</v>
      </c>
      <c r="N215" s="84">
        <f t="shared" si="52"/>
        <v>1078367.83</v>
      </c>
      <c r="O215" s="84">
        <f t="shared" si="52"/>
        <v>545419.93000000005</v>
      </c>
      <c r="P215" s="84">
        <f t="shared" si="52"/>
        <v>328580.06999999995</v>
      </c>
      <c r="Q215" s="84">
        <f t="shared" si="52"/>
        <v>870195.9</v>
      </c>
      <c r="R215" s="84">
        <f t="shared" si="52"/>
        <v>55492.119999999995</v>
      </c>
      <c r="S215" s="84">
        <f t="shared" si="52"/>
        <v>251856.94</v>
      </c>
      <c r="T215" s="200">
        <f t="shared" si="52"/>
        <v>-235158.55000000002</v>
      </c>
      <c r="U215" s="84">
        <f t="shared" si="52"/>
        <v>969710.25</v>
      </c>
      <c r="V215" s="84">
        <f t="shared" si="52"/>
        <v>369776.02999999997</v>
      </c>
      <c r="W215" s="84">
        <f t="shared" si="52"/>
        <v>230388.43</v>
      </c>
      <c r="X215" s="84">
        <f t="shared" si="52"/>
        <v>1701670.13</v>
      </c>
      <c r="Y215" s="84">
        <f t="shared" si="52"/>
        <v>2382632</v>
      </c>
      <c r="Z215" s="84">
        <f t="shared" si="52"/>
        <v>3013602.85</v>
      </c>
      <c r="AA215" s="84">
        <f t="shared" si="52"/>
        <v>11462204.379999999</v>
      </c>
      <c r="AB215" s="84">
        <f t="shared" si="52"/>
        <v>359527.63</v>
      </c>
      <c r="AC215" s="84">
        <f t="shared" si="52"/>
        <v>1093652.3800000001</v>
      </c>
      <c r="AD215" s="84">
        <f t="shared" si="52"/>
        <v>819609.84</v>
      </c>
      <c r="AE215" s="84">
        <f t="shared" si="52"/>
        <v>649434.99</v>
      </c>
      <c r="AF215" s="84">
        <f t="shared" si="52"/>
        <v>1176011.99</v>
      </c>
      <c r="AG215" s="84">
        <f t="shared" si="52"/>
        <v>4624157.3000000007</v>
      </c>
      <c r="AH215" s="84">
        <f t="shared" si="52"/>
        <v>3981805.7300000004</v>
      </c>
      <c r="AI215" s="84">
        <f t="shared" si="52"/>
        <v>1901857.74</v>
      </c>
      <c r="AJ215" s="84">
        <f t="shared" si="52"/>
        <v>1127988.1499999999</v>
      </c>
      <c r="AK215" s="84">
        <f t="shared" si="52"/>
        <v>1358453.23</v>
      </c>
      <c r="AL215" s="84">
        <f t="shared" si="52"/>
        <v>745205.46</v>
      </c>
      <c r="AM215" s="84">
        <f t="shared" si="52"/>
        <v>3388985.41</v>
      </c>
      <c r="AN215" s="84">
        <f t="shared" si="52"/>
        <v>2634789.11</v>
      </c>
      <c r="AO215" s="84">
        <f t="shared" si="52"/>
        <v>513721.08999999997</v>
      </c>
      <c r="AP215" s="84">
        <f t="shared" si="52"/>
        <v>6934776.3999999994</v>
      </c>
      <c r="AQ215" s="84">
        <f t="shared" si="52"/>
        <v>1859200.25</v>
      </c>
      <c r="AR215" s="84">
        <f t="shared" si="52"/>
        <v>1247135.8999999999</v>
      </c>
      <c r="AS215" s="84">
        <f t="shared" si="52"/>
        <v>7568228.8700000001</v>
      </c>
      <c r="AT215" s="84">
        <f t="shared" si="52"/>
        <v>361872.32</v>
      </c>
      <c r="AU215" s="84">
        <f t="shared" si="52"/>
        <v>537738.39</v>
      </c>
      <c r="AV215" s="84">
        <f t="shared" si="52"/>
        <v>2993715.14</v>
      </c>
      <c r="AW215" s="84">
        <f t="shared" si="52"/>
        <v>4999580.3899999997</v>
      </c>
      <c r="AX215" s="84">
        <f t="shared" si="52"/>
        <v>576147.78</v>
      </c>
      <c r="AY215" s="84">
        <f t="shared" si="52"/>
        <v>202358.39999999999</v>
      </c>
      <c r="AZ215" s="84">
        <f t="shared" si="52"/>
        <v>592723.38</v>
      </c>
      <c r="BA215" s="84">
        <f t="shared" si="52"/>
        <v>2121290.9</v>
      </c>
      <c r="BB215" s="84">
        <f t="shared" si="52"/>
        <v>1474378.8099999998</v>
      </c>
      <c r="BC215" s="84">
        <f t="shared" si="52"/>
        <v>2366643.2600000002</v>
      </c>
      <c r="BD215" s="84">
        <f t="shared" si="52"/>
        <v>772481.9</v>
      </c>
      <c r="BE215" s="84">
        <f t="shared" si="52"/>
        <v>1169070.55</v>
      </c>
      <c r="BF215" s="84">
        <f t="shared" si="52"/>
        <v>685302.43</v>
      </c>
      <c r="BG215" s="84">
        <f t="shared" si="44"/>
        <v>100568726.30000004</v>
      </c>
      <c r="BH215" s="84">
        <f t="shared" si="45"/>
        <v>22872441.949999996</v>
      </c>
      <c r="BI215" s="84">
        <f t="shared" si="46"/>
        <v>33950938.209999986</v>
      </c>
      <c r="BJ215" s="84">
        <f t="shared" si="47"/>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5"/>
        <v>-441421.63</v>
      </c>
      <c r="BI216" s="203">
        <f t="shared" si="46"/>
        <v>2852875.89</v>
      </c>
      <c r="BJ216" s="203">
        <f t="shared" si="47"/>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5"/>
        <v>23313863.580000002</v>
      </c>
      <c r="BI217" s="203">
        <f t="shared" si="46"/>
        <v>31098062.32</v>
      </c>
      <c r="BJ217" s="203">
        <f t="shared" si="47"/>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3">G216</f>
        <v>-70505.289999999994</v>
      </c>
      <c r="H221" s="4">
        <f t="shared" si="53"/>
        <v>-111577.93</v>
      </c>
      <c r="I221" s="4">
        <f t="shared" si="53"/>
        <v>54007.05</v>
      </c>
      <c r="J221" s="4">
        <f t="shared" si="53"/>
        <v>28923.83</v>
      </c>
      <c r="K221" s="4">
        <f t="shared" si="53"/>
        <v>101053.96</v>
      </c>
      <c r="L221" s="4">
        <f t="shared" si="53"/>
        <v>5411.09</v>
      </c>
      <c r="M221" s="4">
        <f t="shared" si="53"/>
        <v>-67.2</v>
      </c>
      <c r="N221" s="4">
        <f t="shared" si="53"/>
        <v>89897.07</v>
      </c>
      <c r="O221" s="4">
        <f t="shared" si="53"/>
        <v>-13123.38</v>
      </c>
      <c r="P221" s="4">
        <f t="shared" si="53"/>
        <v>-243211.13</v>
      </c>
      <c r="Q221" s="4">
        <f t="shared" si="53"/>
        <v>5670.3</v>
      </c>
      <c r="R221" s="4">
        <f t="shared" si="53"/>
        <v>-26078.06</v>
      </c>
      <c r="S221" s="4">
        <f t="shared" si="53"/>
        <v>33566.67</v>
      </c>
      <c r="T221" s="4">
        <f t="shared" si="53"/>
        <v>-135865.17000000001</v>
      </c>
      <c r="U221" s="4">
        <f t="shared" si="53"/>
        <v>310014.2</v>
      </c>
      <c r="V221" s="4">
        <f t="shared" si="53"/>
        <v>-34246.9</v>
      </c>
      <c r="W221" s="4">
        <f t="shared" si="53"/>
        <v>-349123.21</v>
      </c>
      <c r="X221" s="4">
        <f t="shared" si="53"/>
        <v>71457.649999999994</v>
      </c>
      <c r="Y221" s="4">
        <f t="shared" si="53"/>
        <v>124375.22</v>
      </c>
      <c r="Z221" s="4">
        <f t="shared" si="53"/>
        <v>1633805.81</v>
      </c>
      <c r="AA221" s="4">
        <f t="shared" si="53"/>
        <v>925288.21</v>
      </c>
      <c r="AB221" s="4">
        <f t="shared" si="53"/>
        <v>13373.11</v>
      </c>
      <c r="AC221" s="4">
        <f t="shared" si="53"/>
        <v>-34056.49</v>
      </c>
      <c r="AD221" s="4">
        <f t="shared" si="53"/>
        <v>-190765.53</v>
      </c>
      <c r="AE221" s="4">
        <f t="shared" si="53"/>
        <v>-65921.119999999995</v>
      </c>
      <c r="AF221" s="4">
        <f t="shared" si="53"/>
        <v>-148769.32</v>
      </c>
      <c r="AG221" s="4">
        <f t="shared" si="53"/>
        <v>-159274.14000000001</v>
      </c>
      <c r="AH221" s="4">
        <f t="shared" si="53"/>
        <v>764904.49</v>
      </c>
      <c r="AI221" s="4">
        <f t="shared" si="53"/>
        <v>28139.98</v>
      </c>
      <c r="AJ221" s="4">
        <f t="shared" si="53"/>
        <v>-31785.75</v>
      </c>
      <c r="AK221" s="4">
        <f t="shared" si="53"/>
        <v>-6438.58</v>
      </c>
      <c r="AL221" s="4">
        <f t="shared" si="53"/>
        <v>423500</v>
      </c>
      <c r="AM221" s="4">
        <f t="shared" si="53"/>
        <v>1986.72</v>
      </c>
      <c r="AN221" s="4">
        <f t="shared" si="53"/>
        <v>103605.34</v>
      </c>
      <c r="AO221" s="4">
        <f t="shared" si="53"/>
        <v>4158.18</v>
      </c>
      <c r="AP221" s="4">
        <f t="shared" si="53"/>
        <v>48266.43</v>
      </c>
      <c r="AQ221" s="4">
        <f t="shared" si="53"/>
        <v>135972.01999999999</v>
      </c>
      <c r="AR221" s="4">
        <f t="shared" si="53"/>
        <v>6474.16</v>
      </c>
      <c r="AS221" s="4">
        <f t="shared" si="53"/>
        <v>9638.94</v>
      </c>
      <c r="AT221" s="4">
        <f t="shared" si="53"/>
        <v>32568.26</v>
      </c>
      <c r="AU221" s="4">
        <f t="shared" si="53"/>
        <v>-48087.99</v>
      </c>
      <c r="AV221" s="4">
        <f t="shared" si="53"/>
        <v>18094.98</v>
      </c>
      <c r="AW221" s="4">
        <f t="shared" si="53"/>
        <v>115176.8</v>
      </c>
      <c r="AX221" s="4">
        <f t="shared" si="53"/>
        <v>58369.4</v>
      </c>
      <c r="AY221" s="4">
        <f t="shared" si="53"/>
        <v>-66725.97</v>
      </c>
      <c r="AZ221" s="4">
        <f t="shared" si="53"/>
        <v>-95514.240000000005</v>
      </c>
      <c r="BA221" s="4">
        <f t="shared" si="53"/>
        <v>42035.89</v>
      </c>
      <c r="BB221" s="4">
        <f t="shared" si="53"/>
        <v>-22521.59</v>
      </c>
      <c r="BC221" s="4">
        <f t="shared" si="53"/>
        <v>13297.33</v>
      </c>
      <c r="BD221" s="4">
        <f t="shared" si="53"/>
        <v>46556.28</v>
      </c>
      <c r="BE221" s="4">
        <f t="shared" si="53"/>
        <v>-340407.68</v>
      </c>
      <c r="BF221" s="4">
        <f t="shared" si="53"/>
        <v>66157.88</v>
      </c>
      <c r="BG221" s="4">
        <f t="shared" si="53"/>
        <v>2964055.3999999985</v>
      </c>
      <c r="BH221" s="4">
        <f t="shared" si="53"/>
        <v>-441421.63</v>
      </c>
      <c r="BI221" s="4">
        <f t="shared" si="53"/>
        <v>2852875.89</v>
      </c>
      <c r="BJ221" s="4">
        <f t="shared" si="53"/>
        <v>552601.14000000013</v>
      </c>
    </row>
    <row r="223" spans="3:63" x14ac:dyDescent="0.25">
      <c r="E223" s="7" t="s">
        <v>589</v>
      </c>
      <c r="F223" s="181">
        <f>F220+F221</f>
        <v>44928.100000000006</v>
      </c>
      <c r="G223" s="181">
        <f t="shared" ref="G223:BJ223" si="54">G220+G221</f>
        <v>-48557.319999999992</v>
      </c>
      <c r="H223" s="181">
        <f t="shared" si="54"/>
        <v>-94828.599999999991</v>
      </c>
      <c r="I223" s="181">
        <f t="shared" si="54"/>
        <v>174728.51</v>
      </c>
      <c r="J223" s="181">
        <f t="shared" si="54"/>
        <v>509529.57</v>
      </c>
      <c r="K223" s="181">
        <f t="shared" si="54"/>
        <v>355331.14</v>
      </c>
      <c r="L223" s="181">
        <f t="shared" si="54"/>
        <v>521660.97000000003</v>
      </c>
      <c r="M223" s="181">
        <f t="shared" si="54"/>
        <v>3551526.5</v>
      </c>
      <c r="N223" s="181">
        <f t="shared" si="54"/>
        <v>288258.07</v>
      </c>
      <c r="O223" s="181">
        <f t="shared" si="54"/>
        <v>-9232.119999999999</v>
      </c>
      <c r="P223" s="181">
        <f t="shared" si="54"/>
        <v>713421.97</v>
      </c>
      <c r="Q223" s="181">
        <f t="shared" si="54"/>
        <v>98362.19</v>
      </c>
      <c r="R223" s="181">
        <f t="shared" si="54"/>
        <v>-4705.8100000000013</v>
      </c>
      <c r="S223" s="181">
        <f t="shared" si="54"/>
        <v>43963.29</v>
      </c>
      <c r="T223" s="181">
        <f t="shared" si="54"/>
        <v>-48947.220000000016</v>
      </c>
      <c r="U223" s="181">
        <f t="shared" si="54"/>
        <v>544010.83000000007</v>
      </c>
      <c r="V223" s="181">
        <f t="shared" si="54"/>
        <v>-15080.91</v>
      </c>
      <c r="W223" s="181">
        <f t="shared" si="54"/>
        <v>-314421.67000000004</v>
      </c>
      <c r="X223" s="181">
        <f t="shared" si="54"/>
        <v>456199.36</v>
      </c>
      <c r="Y223" s="181">
        <f t="shared" si="54"/>
        <v>138689.76999999999</v>
      </c>
      <c r="Z223" s="181">
        <f t="shared" si="54"/>
        <v>1766349.46</v>
      </c>
      <c r="AA223" s="181">
        <f t="shared" si="54"/>
        <v>1120099.08</v>
      </c>
      <c r="AB223" s="181">
        <f t="shared" si="54"/>
        <v>10126.51</v>
      </c>
      <c r="AC223" s="181">
        <f t="shared" si="54"/>
        <v>1129.2400000000052</v>
      </c>
      <c r="AD223" s="181">
        <f t="shared" si="54"/>
        <v>-297058.18</v>
      </c>
      <c r="AE223" s="181">
        <f t="shared" si="54"/>
        <v>4584.9600000000064</v>
      </c>
      <c r="AF223" s="181">
        <f t="shared" si="54"/>
        <v>-249384.18</v>
      </c>
      <c r="AG223" s="181">
        <f t="shared" si="54"/>
        <v>76405.579999999987</v>
      </c>
      <c r="AH223" s="181">
        <f t="shared" si="54"/>
        <v>904527.7</v>
      </c>
      <c r="AI223" s="181">
        <f t="shared" si="54"/>
        <v>869734.76</v>
      </c>
      <c r="AJ223" s="181">
        <f t="shared" si="54"/>
        <v>-35701.35</v>
      </c>
      <c r="AK223" s="181">
        <f t="shared" si="54"/>
        <v>45606.67</v>
      </c>
      <c r="AL223" s="181">
        <f t="shared" si="54"/>
        <v>571824.05000000005</v>
      </c>
      <c r="AM223" s="181">
        <f t="shared" si="54"/>
        <v>45087.840000000004</v>
      </c>
      <c r="AN223" s="181">
        <f t="shared" si="54"/>
        <v>123768.67</v>
      </c>
      <c r="AO223" s="181">
        <f t="shared" si="54"/>
        <v>6229.74</v>
      </c>
      <c r="AP223" s="181">
        <f t="shared" si="54"/>
        <v>209567.68</v>
      </c>
      <c r="AQ223" s="181">
        <f t="shared" si="54"/>
        <v>200305.65999999997</v>
      </c>
      <c r="AR223" s="181">
        <f t="shared" si="54"/>
        <v>32981.15</v>
      </c>
      <c r="AS223" s="181">
        <f t="shared" si="54"/>
        <v>76558.69</v>
      </c>
      <c r="AT223" s="181">
        <f t="shared" si="54"/>
        <v>1288.75</v>
      </c>
      <c r="AU223" s="181">
        <f t="shared" si="54"/>
        <v>-3462.9399999999951</v>
      </c>
      <c r="AV223" s="181">
        <f t="shared" si="54"/>
        <v>47834.869999999995</v>
      </c>
      <c r="AW223" s="181">
        <f t="shared" si="54"/>
        <v>258416.72000000003</v>
      </c>
      <c r="AX223" s="181">
        <f t="shared" si="54"/>
        <v>82660.81</v>
      </c>
      <c r="AY223" s="181">
        <f t="shared" si="54"/>
        <v>-50574.92</v>
      </c>
      <c r="AZ223" s="181">
        <f t="shared" si="54"/>
        <v>-46434.000000000007</v>
      </c>
      <c r="BA223" s="181">
        <f t="shared" si="54"/>
        <v>59877.34</v>
      </c>
      <c r="BB223" s="181">
        <f t="shared" si="54"/>
        <v>122026.26000000001</v>
      </c>
      <c r="BC223" s="181">
        <f t="shared" si="54"/>
        <v>134564.66</v>
      </c>
      <c r="BD223" s="181">
        <f t="shared" si="54"/>
        <v>59759.93</v>
      </c>
      <c r="BE223" s="181">
        <f t="shared" si="54"/>
        <v>651336.63000000012</v>
      </c>
      <c r="BF223" s="181">
        <f t="shared" si="54"/>
        <v>116013.61000000002</v>
      </c>
      <c r="BG223" s="181">
        <f t="shared" si="54"/>
        <v>13820888.070000002</v>
      </c>
      <c r="BH223" s="181">
        <f t="shared" si="54"/>
        <v>6766146.8499999996</v>
      </c>
      <c r="BI223" s="181">
        <f t="shared" si="54"/>
        <v>4355110.0199999996</v>
      </c>
      <c r="BJ223" s="181">
        <f t="shared" si="54"/>
        <v>2699631.2</v>
      </c>
    </row>
    <row r="224" spans="3:63" x14ac:dyDescent="0.25">
      <c r="N224" s="4"/>
      <c r="BG224" s="4"/>
      <c r="BH224" s="4"/>
      <c r="BI224" s="4"/>
      <c r="BJ224" s="4"/>
    </row>
    <row r="225" spans="5:62" x14ac:dyDescent="0.25">
      <c r="E225" s="60" t="s">
        <v>588</v>
      </c>
      <c r="F225" s="153">
        <f>F4-F120</f>
        <v>0</v>
      </c>
      <c r="G225" s="153">
        <f t="shared" ref="G225:BJ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s="153">
        <f t="shared" si="55"/>
        <v>271730.33999999892</v>
      </c>
      <c r="U225" s="153">
        <f t="shared" si="55"/>
        <v>0</v>
      </c>
      <c r="V225" s="153">
        <f t="shared" si="55"/>
        <v>0</v>
      </c>
      <c r="W225" s="153">
        <f t="shared" si="55"/>
        <v>0</v>
      </c>
      <c r="X225" s="153">
        <f t="shared" si="55"/>
        <v>0</v>
      </c>
      <c r="Y225" s="153">
        <f t="shared" si="55"/>
        <v>0</v>
      </c>
      <c r="Z225" s="153">
        <f t="shared" si="55"/>
        <v>0</v>
      </c>
      <c r="AA225" s="153">
        <f t="shared" si="55"/>
        <v>0</v>
      </c>
      <c r="AB225" s="153">
        <f t="shared" si="55"/>
        <v>3215.7000000001863</v>
      </c>
      <c r="AC225" s="153">
        <f t="shared" si="55"/>
        <v>0</v>
      </c>
      <c r="AD225" s="153">
        <f t="shared" si="55"/>
        <v>0</v>
      </c>
      <c r="AE225" s="153">
        <f t="shared" si="55"/>
        <v>0</v>
      </c>
      <c r="AF225" s="153">
        <f t="shared" si="55"/>
        <v>0</v>
      </c>
      <c r="AG225" s="153">
        <f t="shared" si="55"/>
        <v>0</v>
      </c>
      <c r="AH225" s="153">
        <f t="shared" si="55"/>
        <v>0</v>
      </c>
      <c r="AI225" s="153">
        <f t="shared" si="55"/>
        <v>0</v>
      </c>
      <c r="AJ225" s="153">
        <f t="shared" si="55"/>
        <v>0</v>
      </c>
      <c r="AK225" s="153">
        <f t="shared" si="55"/>
        <v>0</v>
      </c>
      <c r="AL225" s="153">
        <f t="shared" si="55"/>
        <v>0</v>
      </c>
      <c r="AM225" s="153">
        <f t="shared" si="55"/>
        <v>0</v>
      </c>
      <c r="AN225" s="153">
        <f t="shared" si="55"/>
        <v>0</v>
      </c>
      <c r="AO225" s="153">
        <f t="shared" si="55"/>
        <v>0</v>
      </c>
      <c r="AP225" s="153">
        <f t="shared" si="55"/>
        <v>0</v>
      </c>
      <c r="AQ225" s="153">
        <f t="shared" si="55"/>
        <v>0</v>
      </c>
      <c r="AR225" s="153">
        <f t="shared" si="55"/>
        <v>0</v>
      </c>
      <c r="AS225" s="153">
        <f t="shared" si="55"/>
        <v>0</v>
      </c>
      <c r="AT225" s="153">
        <f t="shared" si="55"/>
        <v>0</v>
      </c>
      <c r="AU225" s="153">
        <f t="shared" si="55"/>
        <v>0</v>
      </c>
      <c r="AV225" s="153">
        <f t="shared" si="55"/>
        <v>0</v>
      </c>
      <c r="AW225" s="153">
        <f t="shared" si="55"/>
        <v>0</v>
      </c>
      <c r="AX225" s="153">
        <f t="shared" si="55"/>
        <v>0</v>
      </c>
      <c r="AY225" s="153">
        <f t="shared" si="55"/>
        <v>0</v>
      </c>
      <c r="AZ225" s="153">
        <f t="shared" si="55"/>
        <v>0</v>
      </c>
      <c r="BA225" s="153">
        <f t="shared" si="55"/>
        <v>0</v>
      </c>
      <c r="BB225" s="153">
        <f t="shared" si="55"/>
        <v>0</v>
      </c>
      <c r="BC225" s="153">
        <f t="shared" si="55"/>
        <v>0</v>
      </c>
      <c r="BD225" s="153">
        <f t="shared" si="55"/>
        <v>0</v>
      </c>
      <c r="BE225" s="153">
        <f t="shared" si="55"/>
        <v>0</v>
      </c>
      <c r="BF225" s="153">
        <f t="shared" si="55"/>
        <v>0</v>
      </c>
      <c r="BG225" s="153">
        <f t="shared" si="55"/>
        <v>274946.04000008106</v>
      </c>
      <c r="BH225" s="153">
        <f t="shared" si="55"/>
        <v>271730.33999997377</v>
      </c>
      <c r="BI225" s="153">
        <f t="shared" si="55"/>
        <v>3215.7000000476837</v>
      </c>
      <c r="BJ225" s="153">
        <f t="shared" si="55"/>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I61"/>
  <sheetViews>
    <sheetView workbookViewId="0">
      <pane xSplit="2" ySplit="6" topLeftCell="AX7" activePane="bottomRight" state="frozen"/>
      <selection pane="topRight" activeCell="C1" sqref="C1"/>
      <selection pane="bottomLeft" activeCell="A7" sqref="A7"/>
      <selection pane="bottomRight" activeCell="BI20" sqref="BI20"/>
    </sheetView>
  </sheetViews>
  <sheetFormatPr baseColWidth="10" defaultRowHeight="15" x14ac:dyDescent="0.25"/>
  <cols>
    <col min="1" max="1" width="5.7109375" customWidth="1"/>
    <col min="2" max="2" width="50.28515625" customWidth="1"/>
    <col min="3" max="56" width="16.28515625" customWidth="1"/>
    <col min="57" max="59" width="17.85546875" customWidth="1"/>
    <col min="61" max="61" width="13.85546875" bestFit="1"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61"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61"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61"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61"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c r="BI20" s="101"/>
    </row>
    <row r="21" spans="1:61"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61"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61"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61"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61"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61"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61"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61"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61"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61"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61"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61"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S17" sqref="S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zoomScale="70" zoomScaleNormal="70" workbookViewId="0">
      <selection activeCell="AN52" sqref="AN52"/>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52</v>
      </c>
      <c r="B3" s="4">
        <f>'5.4 Tableau de l''endettement'!AI20</f>
        <v>18004708.100000001</v>
      </c>
      <c r="C3" s="4">
        <f>'5.4 Tableau de l''endettement'!AI21</f>
        <v>9521.2628767847709</v>
      </c>
      <c r="D3" s="4">
        <f>'5.4 Tableau de l''endettement'!AI23</f>
        <v>12776514.859999999</v>
      </c>
      <c r="E3" s="4">
        <f>'5.4 Tableau de l''endettement'!AI24</f>
        <v>6756.4859122157586</v>
      </c>
    </row>
    <row r="4" spans="1:5" x14ac:dyDescent="0.25">
      <c r="A4" s="205" t="s">
        <v>32</v>
      </c>
      <c r="B4" s="4">
        <f>'5.4 Tableau de l''endettement'!AK20</f>
        <v>11290231.99</v>
      </c>
      <c r="C4" s="4">
        <f>'5.4 Tableau de l''endettement'!AK21</f>
        <v>9216.5159102040816</v>
      </c>
      <c r="D4" s="4">
        <f>'5.4 Tableau de l''endettement'!AK23</f>
        <v>6419097.7300000004</v>
      </c>
      <c r="E4" s="4">
        <f>'5.4 Tableau de l''endettement'!AK24</f>
        <v>5240.079779591837</v>
      </c>
    </row>
    <row r="5" spans="1:5" x14ac:dyDescent="0.25">
      <c r="A5" s="205" t="s">
        <v>29</v>
      </c>
      <c r="B5" s="4">
        <f>'5.4 Tableau de l''endettement'!AL20</f>
        <v>1609835.59</v>
      </c>
      <c r="C5" s="4">
        <f>'5.4 Tableau de l''endettement'!AL21</f>
        <v>13759.278547008547</v>
      </c>
      <c r="D5" s="4">
        <f>'5.4 Tableau de l''endettement'!AL23</f>
        <v>-68973.139999999898</v>
      </c>
      <c r="E5" s="4">
        <f>'5.4 Tableau de l''endettement'!AL24</f>
        <v>-589.51401709401625</v>
      </c>
    </row>
    <row r="6" spans="1:5" x14ac:dyDescent="0.25">
      <c r="A6" s="205" t="s">
        <v>56</v>
      </c>
      <c r="B6" s="4">
        <f>'5.4 Tableau de l''endettement'!C20</f>
        <v>10352456.359999999</v>
      </c>
      <c r="C6" s="4">
        <f>'5.4 Tableau de l''endettement'!C21</f>
        <v>10931.844097148891</v>
      </c>
      <c r="D6" s="4">
        <f>'5.4 Tableau de l''endettement'!C23</f>
        <v>4381758.7200000007</v>
      </c>
      <c r="E6" s="4">
        <f>'5.4 Tableau de l''endettement'!C24</f>
        <v>4626.989144667371</v>
      </c>
    </row>
    <row r="7" spans="1:5" x14ac:dyDescent="0.25">
      <c r="A7" s="205" t="s">
        <v>26</v>
      </c>
      <c r="B7" s="4">
        <f>'5.4 Tableau de l''endettement'!AM20</f>
        <v>9467167.8599999994</v>
      </c>
      <c r="C7" s="4">
        <f>'5.4 Tableau de l''endettement'!AM21</f>
        <v>7989.1711898734175</v>
      </c>
      <c r="D7" s="4">
        <f>'5.4 Tableau de l''endettement'!AM23</f>
        <v>-4253300.6399999987</v>
      </c>
      <c r="E7" s="4">
        <f>'5.4 Tableau de l''endettement'!AM24</f>
        <v>-3589.2832405063282</v>
      </c>
    </row>
    <row r="8" spans="1:5" x14ac:dyDescent="0.25">
      <c r="A8" s="205" t="s">
        <v>48</v>
      </c>
      <c r="B8" s="4">
        <f>'5.4 Tableau de l''endettement'!AN20</f>
        <v>5060879.72</v>
      </c>
      <c r="C8" s="4">
        <f>'5.4 Tableau de l''endettement'!AN21</f>
        <v>7882.9902180685358</v>
      </c>
      <c r="D8" s="4">
        <f>'5.4 Tableau de l''endettement'!AN23</f>
        <v>1394899.9899999998</v>
      </c>
      <c r="E8" s="4">
        <f>'5.4 Tableau de l''endettement'!AN24</f>
        <v>2172.7414174454825</v>
      </c>
    </row>
    <row r="9" spans="1:5" x14ac:dyDescent="0.25">
      <c r="A9" s="205" t="s">
        <v>18</v>
      </c>
      <c r="B9" s="4">
        <f>'5.4 Tableau de l''endettement'!D20</f>
        <v>2474314.7000000002</v>
      </c>
      <c r="C9" s="4">
        <f>'5.4 Tableau de l''endettement'!D21</f>
        <v>9337.0366037735857</v>
      </c>
      <c r="D9" s="4">
        <f>'5.4 Tableau de l''endettement'!D23</f>
        <v>1334174.0200000003</v>
      </c>
      <c r="E9" s="4">
        <f>'5.4 Tableau de l''endettement'!D24</f>
        <v>5034.6189433962272</v>
      </c>
    </row>
    <row r="10" spans="1:5" x14ac:dyDescent="0.25">
      <c r="A10" s="205" t="s">
        <v>44</v>
      </c>
      <c r="B10" s="4">
        <f>'5.4 Tableau de l''endettement'!AO20</f>
        <v>4084166.64</v>
      </c>
      <c r="C10" s="4">
        <f>'5.4 Tableau de l''endettement'!AO21</f>
        <v>6452.08</v>
      </c>
      <c r="D10" s="4">
        <f>'5.4 Tableau de l''endettement'!AO23</f>
        <v>1260354.7200000002</v>
      </c>
      <c r="E10" s="4">
        <f>'5.4 Tableau de l''endettement'!AO24</f>
        <v>1991.0817061611378</v>
      </c>
    </row>
    <row r="11" spans="1:5" x14ac:dyDescent="0.25">
      <c r="A11" s="205" t="s">
        <v>57</v>
      </c>
      <c r="B11" s="4">
        <f>'5.4 Tableau de l''endettement'!E20</f>
        <v>5522808.4000000004</v>
      </c>
      <c r="C11" s="4">
        <f>'5.4 Tableau de l''endettement'!E21</f>
        <v>11775.710874200427</v>
      </c>
      <c r="D11" s="4">
        <f>'5.4 Tableau de l''endettement'!E23</f>
        <v>2494295.2999999993</v>
      </c>
      <c r="E11" s="4">
        <f>'5.4 Tableau de l''endettement'!E24</f>
        <v>5318.32686567164</v>
      </c>
    </row>
    <row r="12" spans="1:5" x14ac:dyDescent="0.25">
      <c r="A12" s="205" t="s">
        <v>37</v>
      </c>
      <c r="B12" s="4">
        <f>'5.4 Tableau de l''endettement'!AP20</f>
        <v>11258543.550000001</v>
      </c>
      <c r="C12" s="4">
        <f>'5.4 Tableau de l''endettement'!AP21</f>
        <v>8768.3360981308415</v>
      </c>
      <c r="D12" s="4">
        <f>'5.4 Tableau de l''endettement'!AP23</f>
        <v>-309867.80999999866</v>
      </c>
      <c r="E12" s="4">
        <f>'5.4 Tableau de l''endettement'!AP24</f>
        <v>-241.3300700934569</v>
      </c>
    </row>
    <row r="13" spans="1:5" x14ac:dyDescent="0.25">
      <c r="A13" s="205" t="s">
        <v>51</v>
      </c>
      <c r="B13" s="4">
        <f>'5.4 Tableau de l''endettement'!AQ20</f>
        <v>5676255.4499999993</v>
      </c>
      <c r="C13" s="4">
        <f>'5.4 Tableau de l''endettement'!AQ21</f>
        <v>7765.055335157318</v>
      </c>
      <c r="D13" s="4">
        <f>'5.4 Tableau de l''endettement'!AQ23</f>
        <v>3086864.3399999994</v>
      </c>
      <c r="E13" s="4">
        <f>'5.4 Tableau de l''endettement'!AQ24</f>
        <v>4222.796634746921</v>
      </c>
    </row>
    <row r="14" spans="1:5" x14ac:dyDescent="0.25">
      <c r="A14" s="205" t="s">
        <v>8</v>
      </c>
      <c r="B14" s="4">
        <f>'5.4 Tableau de l''endettement'!AR20</f>
        <v>8931872.6600000001</v>
      </c>
      <c r="C14" s="4">
        <f>'5.4 Tableau de l''endettement'!AR21</f>
        <v>8791.2132480314958</v>
      </c>
      <c r="D14" s="4">
        <f>'5.4 Tableau de l''endettement'!AR23</f>
        <v>5096750.43</v>
      </c>
      <c r="E14" s="4">
        <f>'5.4 Tableau de l''endettement'!AR24</f>
        <v>5016.4866437007868</v>
      </c>
    </row>
    <row r="15" spans="1:5" x14ac:dyDescent="0.25">
      <c r="A15" s="205" t="s">
        <v>53</v>
      </c>
      <c r="B15" s="4">
        <f>'5.4 Tableau de l''endettement'!F20</f>
        <v>4432305.8599999994</v>
      </c>
      <c r="C15" s="4">
        <f>'5.4 Tableau de l''endettement'!F21</f>
        <v>10096.368701594532</v>
      </c>
      <c r="D15" s="4">
        <f>'5.4 Tableau de l''endettement'!F23</f>
        <v>159665.83999999985</v>
      </c>
      <c r="E15" s="4">
        <f>'5.4 Tableau de l''endettement'!F24</f>
        <v>363.7035079726648</v>
      </c>
    </row>
    <row r="16" spans="1:5" x14ac:dyDescent="0.25">
      <c r="A16" s="205" t="s">
        <v>24</v>
      </c>
      <c r="B16" s="4">
        <f>'5.4 Tableau de l''endettement'!AS20</f>
        <v>1867774.15</v>
      </c>
      <c r="C16" s="4">
        <f>'5.4 Tableau de l''endettement'!AS21</f>
        <v>6143.9939144736836</v>
      </c>
      <c r="D16" s="4">
        <f>'5.4 Tableau de l''endettement'!AS23</f>
        <v>-1089984.3500000006</v>
      </c>
      <c r="E16" s="4">
        <f>'5.4 Tableau de l''endettement'!AS24</f>
        <v>-3585.4748355263177</v>
      </c>
    </row>
    <row r="17" spans="1:5" x14ac:dyDescent="0.25">
      <c r="A17" s="205" t="s">
        <v>9</v>
      </c>
      <c r="B17" s="4">
        <f>'5.4 Tableau de l''endettement'!AT20</f>
        <v>13098682.91</v>
      </c>
      <c r="C17" s="4">
        <f>'5.4 Tableau de l''endettement'!AT21</f>
        <v>5430.631388888889</v>
      </c>
      <c r="D17" s="4">
        <f>'5.4 Tableau de l''endettement'!AT23</f>
        <v>7718740.75</v>
      </c>
      <c r="E17" s="4">
        <f>'5.4 Tableau de l''endettement'!AT24</f>
        <v>3200.1412728026535</v>
      </c>
    </row>
    <row r="18" spans="1:5" x14ac:dyDescent="0.25">
      <c r="A18" s="205" t="s">
        <v>33</v>
      </c>
      <c r="B18" s="4">
        <f>'5.4 Tableau de l''endettement'!G20</f>
        <v>24113627.370000001</v>
      </c>
      <c r="C18" s="4">
        <f>'5.4 Tableau de l''endettement'!G21</f>
        <v>6468.2476850858375</v>
      </c>
      <c r="D18" s="4">
        <f>'5.4 Tableau de l''endettement'!G23</f>
        <v>9596524.3299999982</v>
      </c>
      <c r="E18" s="4">
        <f>'5.4 Tableau de l''endettement'!G24</f>
        <v>2574.1749812231756</v>
      </c>
    </row>
    <row r="19" spans="1:5" x14ac:dyDescent="0.25">
      <c r="A19" s="205" t="s">
        <v>10</v>
      </c>
      <c r="B19" s="4">
        <f>'5.4 Tableau de l''endettement'!H20</f>
        <v>23596343.5</v>
      </c>
      <c r="C19" s="4">
        <f>'5.4 Tableau de l''endettement'!H21</f>
        <v>7054.2133034379667</v>
      </c>
      <c r="D19" s="4">
        <f>'5.4 Tableau de l''endettement'!H23</f>
        <v>16136631.520000003</v>
      </c>
      <c r="E19" s="4">
        <f>'5.4 Tableau de l''endettement'!H24</f>
        <v>4824.1050881913316</v>
      </c>
    </row>
    <row r="20" spans="1:5" x14ac:dyDescent="0.25">
      <c r="A20" s="205" t="s">
        <v>62</v>
      </c>
      <c r="B20" s="4">
        <f>'5.4 Tableau de l''endettement'!AU20</f>
        <v>5987581.8100000005</v>
      </c>
      <c r="C20" s="4">
        <f>'5.4 Tableau de l''endettement'!AU21</f>
        <v>8146.3698095238105</v>
      </c>
      <c r="D20" s="4">
        <f>'5.4 Tableau de l''endettement'!AU23</f>
        <v>2805265.74</v>
      </c>
      <c r="E20" s="4">
        <f>'5.4 Tableau de l''endettement'!AU24</f>
        <v>3816.6880816326534</v>
      </c>
    </row>
    <row r="21" spans="1:5" x14ac:dyDescent="0.25">
      <c r="A21" s="205" t="s">
        <v>15</v>
      </c>
      <c r="B21" s="4">
        <f>'5.4 Tableau de l''endettement'!I20</f>
        <v>10534501.98</v>
      </c>
      <c r="C21" s="4">
        <f>'5.4 Tableau de l''endettement'!I21</f>
        <v>3972.2858144796382</v>
      </c>
      <c r="D21" s="4">
        <f>'5.4 Tableau de l''endettement'!I23</f>
        <v>613443.49000000022</v>
      </c>
      <c r="E21" s="4">
        <f>'5.4 Tableau de l''endettement'!I24</f>
        <v>231.31353318250385</v>
      </c>
    </row>
    <row r="22" spans="1:5" x14ac:dyDescent="0.25">
      <c r="A22" s="205" t="s">
        <v>46</v>
      </c>
      <c r="B22" s="4">
        <f>'5.4 Tableau de l''endettement'!AV20</f>
        <v>704845.53</v>
      </c>
      <c r="C22" s="4">
        <f>'5.4 Tableau de l''endettement'!AV21</f>
        <v>3809.9758378378378</v>
      </c>
      <c r="D22" s="4">
        <f>'5.4 Tableau de l''endettement'!AV23</f>
        <v>189759.61</v>
      </c>
      <c r="E22" s="4">
        <f>'5.4 Tableau de l''endettement'!AV24</f>
        <v>1025.7276216216214</v>
      </c>
    </row>
    <row r="23" spans="1:5" x14ac:dyDescent="0.25">
      <c r="A23" s="205" t="s">
        <v>28</v>
      </c>
      <c r="B23" s="4">
        <f>'5.4 Tableau de l''endettement'!J20</f>
        <v>142369124.54000002</v>
      </c>
      <c r="C23" s="4">
        <f>'5.4 Tableau de l''endettement'!J21</f>
        <v>11408.696573443387</v>
      </c>
      <c r="D23" s="4">
        <f>'5.4 Tableau de l''endettement'!J23</f>
        <v>95429892.970000029</v>
      </c>
      <c r="E23" s="4">
        <f>'5.4 Tableau de l''endettement'!J24</f>
        <v>7647.2387987819557</v>
      </c>
    </row>
    <row r="24" spans="1:5" x14ac:dyDescent="0.25">
      <c r="A24" s="205" t="s">
        <v>42</v>
      </c>
      <c r="B24" s="4">
        <f>'5.4 Tableau de l''endettement'!K20</f>
        <v>6715713.5199999996</v>
      </c>
      <c r="C24" s="4">
        <f>'5.4 Tableau de l''endettement'!K21</f>
        <v>4941.658219278881</v>
      </c>
      <c r="D24" s="4">
        <f>'5.4 Tableau de l''endettement'!K23</f>
        <v>3276821.4900000007</v>
      </c>
      <c r="E24" s="4">
        <f>'5.4 Tableau de l''endettement'!K24</f>
        <v>2411.2005077262697</v>
      </c>
    </row>
    <row r="25" spans="1:5" x14ac:dyDescent="0.25">
      <c r="A25" s="205" t="s">
        <v>23</v>
      </c>
      <c r="B25" s="4">
        <f>'5.4 Tableau de l''endettement'!L20</f>
        <v>858438.48</v>
      </c>
      <c r="C25" s="4">
        <f>'5.4 Tableau de l''endettement'!L21</f>
        <v>7337.0810256410259</v>
      </c>
      <c r="D25" s="4">
        <f>'5.4 Tableau de l''endettement'!L23</f>
        <v>657021.74</v>
      </c>
      <c r="E25" s="4">
        <f>'5.4 Tableau de l''endettement'!L24</f>
        <v>5615.5704273504271</v>
      </c>
    </row>
    <row r="26" spans="1:5" x14ac:dyDescent="0.25">
      <c r="A26" s="205" t="s">
        <v>35</v>
      </c>
      <c r="B26" s="4">
        <f>'5.4 Tableau de l''endettement'!AW20</f>
        <v>2002898.05</v>
      </c>
      <c r="C26" s="4">
        <f>'5.4 Tableau de l''endettement'!AW21</f>
        <v>5890.876617647059</v>
      </c>
      <c r="D26" s="4">
        <f>'5.4 Tableau de l''endettement'!AW23</f>
        <v>-637335.59000000032</v>
      </c>
      <c r="E26" s="4">
        <f>'5.4 Tableau de l''endettement'!AW24</f>
        <v>-1874.5164411764715</v>
      </c>
    </row>
    <row r="27" spans="1:5" x14ac:dyDescent="0.25">
      <c r="A27" s="205" t="s">
        <v>49</v>
      </c>
      <c r="B27" s="4">
        <f>'5.4 Tableau de l''endettement'!AX20</f>
        <v>19789094.379999999</v>
      </c>
      <c r="C27" s="4">
        <f>'5.4 Tableau de l''endettement'!AX21</f>
        <v>11661.222380671774</v>
      </c>
      <c r="D27" s="4">
        <f>'5.4 Tableau de l''endettement'!AX23</f>
        <v>15312974.43</v>
      </c>
      <c r="E27" s="4">
        <f>'5.4 Tableau de l''endettement'!AX24</f>
        <v>9023.5559398939295</v>
      </c>
    </row>
    <row r="28" spans="1:5" x14ac:dyDescent="0.25">
      <c r="A28" s="205" t="s">
        <v>47</v>
      </c>
      <c r="B28" s="4">
        <f>'5.4 Tableau de l''endettement'!AY20</f>
        <v>2070284.17</v>
      </c>
      <c r="C28" s="4">
        <f>'5.4 Tableau de l''endettement'!AY21</f>
        <v>5308.4209487179487</v>
      </c>
      <c r="D28" s="4">
        <f>'5.4 Tableau de l''endettement'!AY23</f>
        <v>-884214.48000000021</v>
      </c>
      <c r="E28" s="4">
        <f>'5.4 Tableau de l''endettement'!AY24</f>
        <v>-2267.216615384616</v>
      </c>
    </row>
    <row r="29" spans="1:5" x14ac:dyDescent="0.25">
      <c r="A29" s="205" t="s">
        <v>58</v>
      </c>
      <c r="B29" s="4">
        <f>'5.4 Tableau de l''endettement'!AZ20</f>
        <v>10358562.43</v>
      </c>
      <c r="C29" s="4">
        <f>'5.4 Tableau de l''endettement'!AZ21</f>
        <v>9653.8326467847146</v>
      </c>
      <c r="D29" s="4">
        <f>'5.4 Tableau de l''endettement'!AZ23</f>
        <v>5827342.290000001</v>
      </c>
      <c r="E29" s="4">
        <f>'5.4 Tableau de l''endettement'!AZ24</f>
        <v>5430.887502329917</v>
      </c>
    </row>
    <row r="30" spans="1:5" x14ac:dyDescent="0.25">
      <c r="A30" s="205" t="s">
        <v>22</v>
      </c>
      <c r="B30" s="4">
        <f>'5.4 Tableau de l''endettement'!M20</f>
        <v>44141873.289999999</v>
      </c>
      <c r="C30" s="4">
        <f>'5.4 Tableau de l''endettement'!M21</f>
        <v>6079.31046550062</v>
      </c>
      <c r="D30" s="4">
        <f>'5.4 Tableau de l''endettement'!M23</f>
        <v>27130951.869999997</v>
      </c>
      <c r="E30" s="4">
        <f>'5.4 Tableau de l''endettement'!M24</f>
        <v>3736.531038424459</v>
      </c>
    </row>
    <row r="31" spans="1:5" x14ac:dyDescent="0.25">
      <c r="A31" s="205" t="s">
        <v>14</v>
      </c>
      <c r="B31" s="4">
        <f>'5.4 Tableau de l''endettement'!AJ20</f>
        <v>9560475.8900000006</v>
      </c>
      <c r="C31" s="4">
        <f>'5.4 Tableau de l''endettement'!AJ21</f>
        <v>8490.6535435168753</v>
      </c>
      <c r="D31" s="4">
        <f>'5.4 Tableau de l''endettement'!AJ23</f>
        <v>4295688.8199999994</v>
      </c>
      <c r="E31" s="4">
        <f>'5.4 Tableau de l''endettement'!AJ24</f>
        <v>3814.9989520426284</v>
      </c>
    </row>
    <row r="32" spans="1:5" x14ac:dyDescent="0.25">
      <c r="A32" s="205" t="s">
        <v>71</v>
      </c>
      <c r="B32" s="4">
        <f>'5.4 Tableau de l''endettement'!Y20</f>
        <v>835119.4</v>
      </c>
      <c r="C32" s="4">
        <f>'5.4 Tableau de l''endettement'!Y21</f>
        <v>8699.1604166666675</v>
      </c>
      <c r="D32" s="4">
        <f>'5.4 Tableau de l''endettement'!Y23</f>
        <v>74018.899999999907</v>
      </c>
      <c r="E32" s="4">
        <f>'5.4 Tableau de l''endettement'!Y24</f>
        <v>771.03020833333233</v>
      </c>
    </row>
    <row r="33" spans="1:5" x14ac:dyDescent="0.25">
      <c r="A33" s="205" t="s">
        <v>41</v>
      </c>
      <c r="B33" s="4">
        <f>'5.4 Tableau de l''endettement'!AB20</f>
        <v>7161605.1599999992</v>
      </c>
      <c r="C33" s="4">
        <f>'5.4 Tableau de l''endettement'!AB21</f>
        <v>10216.269843081311</v>
      </c>
      <c r="D33" s="4">
        <f>'5.4 Tableau de l''endettement'!AB23</f>
        <v>4615930.29</v>
      </c>
      <c r="E33" s="4">
        <f>'5.4 Tableau de l''endettement'!AB24</f>
        <v>6584.7793009985735</v>
      </c>
    </row>
    <row r="34" spans="1:5" x14ac:dyDescent="0.25">
      <c r="A34" s="205" t="s">
        <v>30</v>
      </c>
      <c r="B34" s="4">
        <f>'5.4 Tableau de l''endettement'!V20</f>
        <v>602341.19999999995</v>
      </c>
      <c r="C34" s="4">
        <f>'5.4 Tableau de l''endettement'!V21</f>
        <v>1943.0361290322578</v>
      </c>
      <c r="D34" s="4">
        <f>'5.4 Tableau de l''endettement'!V23</f>
        <v>-1258764.1999999997</v>
      </c>
      <c r="E34" s="4">
        <f>'5.4 Tableau de l''endettement'!V24</f>
        <v>-4060.5296774193539</v>
      </c>
    </row>
    <row r="35" spans="1:5" x14ac:dyDescent="0.25">
      <c r="A35" s="205" t="s">
        <v>55</v>
      </c>
      <c r="B35" s="4">
        <f>'5.4 Tableau de l''endettement'!AE20</f>
        <v>6404302.0600000005</v>
      </c>
      <c r="C35" s="4">
        <f>'5.4 Tableau de l''endettement'!AE21</f>
        <v>3354.7941644840234</v>
      </c>
      <c r="D35" s="4">
        <f>'5.4 Tableau de l''endettement'!AE23</f>
        <v>-1433431.5900000008</v>
      </c>
      <c r="E35" s="4">
        <f>'5.4 Tableau de l''endettement'!AE24</f>
        <v>-750.88087480356251</v>
      </c>
    </row>
    <row r="36" spans="1:5" x14ac:dyDescent="0.25">
      <c r="A36" s="205" t="s">
        <v>20</v>
      </c>
      <c r="B36" s="4">
        <f>'5.4 Tableau de l''endettement'!W20</f>
        <v>10692583.640000001</v>
      </c>
      <c r="C36" s="4">
        <f>'5.4 Tableau de l''endettement'!W21</f>
        <v>8419.3571968503948</v>
      </c>
      <c r="D36" s="4">
        <f>'5.4 Tableau de l''endettement'!W23</f>
        <v>6440242.9599999981</v>
      </c>
      <c r="E36" s="4">
        <f>'5.4 Tableau de l''endettement'!W24</f>
        <v>5071.0574488188959</v>
      </c>
    </row>
    <row r="37" spans="1:5" x14ac:dyDescent="0.25">
      <c r="A37" s="205" t="s">
        <v>45</v>
      </c>
      <c r="B37" s="4">
        <f>'5.4 Tableau de l''endettement'!X20</f>
        <v>8479268.8499999996</v>
      </c>
      <c r="C37" s="4">
        <f>'5.4 Tableau de l''endettement'!X21</f>
        <v>5630.3246015936256</v>
      </c>
      <c r="D37" s="4">
        <f>'5.4 Tableau de l''endettement'!X23</f>
        <v>-10380295.779999997</v>
      </c>
      <c r="E37" s="4">
        <f>'5.4 Tableau de l''endettement'!X24</f>
        <v>-6892.6266799468776</v>
      </c>
    </row>
    <row r="38" spans="1:5" x14ac:dyDescent="0.25">
      <c r="A38" s="205" t="s">
        <v>39</v>
      </c>
      <c r="B38" s="4">
        <f>'5.4 Tableau de l''endettement'!Z20</f>
        <v>1218430.55</v>
      </c>
      <c r="C38" s="4">
        <f>'5.4 Tableau de l''endettement'!Z21</f>
        <v>8232.6388513513521</v>
      </c>
      <c r="D38" s="4">
        <f>'5.4 Tableau de l''endettement'!Z23</f>
        <v>-323523.36999999988</v>
      </c>
      <c r="E38" s="4">
        <f>'5.4 Tableau de l''endettement'!Z24</f>
        <v>-2185.9687162162154</v>
      </c>
    </row>
    <row r="39" spans="1:5" x14ac:dyDescent="0.25">
      <c r="A39" s="205" t="s">
        <v>19</v>
      </c>
      <c r="B39" s="4">
        <f>'5.4 Tableau de l''endettement'!AA20</f>
        <v>4296735.43</v>
      </c>
      <c r="C39" s="4">
        <f>'5.4 Tableau de l''endettement'!AA21</f>
        <v>8294.8560424710413</v>
      </c>
      <c r="D39" s="4">
        <f>'5.4 Tableau de l''endettement'!AA23</f>
        <v>1349453.5100000002</v>
      </c>
      <c r="E39" s="4">
        <f>'5.4 Tableau de l''endettement'!AA24</f>
        <v>2605.1226061776065</v>
      </c>
    </row>
    <row r="40" spans="1:5" x14ac:dyDescent="0.25">
      <c r="A40" s="205" t="s">
        <v>50</v>
      </c>
      <c r="B40" s="4">
        <f>'5.4 Tableau de l''endettement'!BA20</f>
        <v>219892.5</v>
      </c>
      <c r="C40" s="4">
        <f>'5.4 Tableau de l''endettement'!BA21</f>
        <v>1195.0679347826087</v>
      </c>
      <c r="D40" s="4">
        <f>'5.4 Tableau de l''endettement'!BA23</f>
        <v>-576498.74</v>
      </c>
      <c r="E40" s="4">
        <f>'5.4 Tableau de l''endettement'!BA24</f>
        <v>-3133.1453260869566</v>
      </c>
    </row>
    <row r="41" spans="1:5" x14ac:dyDescent="0.25">
      <c r="A41" s="205" t="s">
        <v>13</v>
      </c>
      <c r="B41" s="4">
        <f>'5.4 Tableau de l''endettement'!N20</f>
        <v>3093787.24</v>
      </c>
      <c r="C41" s="4">
        <f>'5.4 Tableau de l''endettement'!N21</f>
        <v>5750.5339033457258</v>
      </c>
      <c r="D41" s="4">
        <f>'5.4 Tableau de l''endettement'!N23</f>
        <v>1159598.6799999997</v>
      </c>
      <c r="E41" s="4">
        <f>'5.4 Tableau de l''endettement'!N24</f>
        <v>2155.3878810408914</v>
      </c>
    </row>
    <row r="42" spans="1:5" x14ac:dyDescent="0.25">
      <c r="A42" s="205" t="s">
        <v>17</v>
      </c>
      <c r="B42" s="4">
        <f>'5.4 Tableau de l''endettement'!O20</f>
        <v>497395.93</v>
      </c>
      <c r="C42" s="4">
        <f>'5.4 Tableau de l''endettement'!O21</f>
        <v>4481.0444144144139</v>
      </c>
      <c r="D42" s="4">
        <f>'5.4 Tableau de l''endettement'!O23</f>
        <v>41216.310000000056</v>
      </c>
      <c r="E42" s="4">
        <f>'5.4 Tableau de l''endettement'!O24</f>
        <v>371.31810810810862</v>
      </c>
    </row>
    <row r="43" spans="1:5" x14ac:dyDescent="0.25">
      <c r="A43" s="205" t="s">
        <v>36</v>
      </c>
      <c r="B43" s="4">
        <f>'5.4 Tableau de l''endettement'!AC20</f>
        <v>3750609.31</v>
      </c>
      <c r="C43" s="4">
        <f>'5.4 Tableau de l''endettement'!AC21</f>
        <v>6650.0165070921985</v>
      </c>
      <c r="D43" s="4">
        <f>'5.4 Tableau de l''endettement'!AC23</f>
        <v>1426544.4699999997</v>
      </c>
      <c r="E43" s="4">
        <f>'5.4 Tableau de l''endettement'!AC24</f>
        <v>2529.3341666666661</v>
      </c>
    </row>
    <row r="44" spans="1:5" x14ac:dyDescent="0.25">
      <c r="A44" s="205" t="s">
        <v>43</v>
      </c>
      <c r="B44" s="4">
        <f>'5.4 Tableau de l''endettement'!P20</f>
        <v>3083781.92</v>
      </c>
      <c r="C44" s="4">
        <f>'5.4 Tableau de l''endettement'!P21</f>
        <v>7324.8976722090256</v>
      </c>
      <c r="D44" s="4">
        <f>'5.4 Tableau de l''endettement'!P23</f>
        <v>1753942.15</v>
      </c>
      <c r="E44" s="4">
        <f>'5.4 Tableau de l''endettement'!P24</f>
        <v>4166.1333729216149</v>
      </c>
    </row>
    <row r="45" spans="1:5" x14ac:dyDescent="0.25">
      <c r="A45" s="205" t="s">
        <v>7</v>
      </c>
      <c r="B45" s="4">
        <f>'5.4 Tableau de l''endettement'!AD20</f>
        <v>1159077.93</v>
      </c>
      <c r="C45" s="4">
        <f>'5.4 Tableau de l''endettement'!AD21</f>
        <v>2207.7674857142856</v>
      </c>
      <c r="D45" s="4">
        <f>'5.4 Tableau de l''endettement'!AD23</f>
        <v>-2814009.3600000003</v>
      </c>
      <c r="E45" s="4">
        <f>'5.4 Tableau de l''endettement'!AD24</f>
        <v>-5360.0178285714292</v>
      </c>
    </row>
    <row r="46" spans="1:5" x14ac:dyDescent="0.25">
      <c r="A46" s="205" t="s">
        <v>40</v>
      </c>
      <c r="B46" s="4">
        <f>'5.4 Tableau de l''endettement'!Q20</f>
        <v>4101271.2100000004</v>
      </c>
      <c r="C46" s="4">
        <f>'5.4 Tableau de l''endettement'!Q21</f>
        <v>11853.385000000002</v>
      </c>
      <c r="D46" s="4">
        <f>'5.4 Tableau de l''endettement'!Q23</f>
        <v>1749151.4600000004</v>
      </c>
      <c r="E46" s="4">
        <f>'5.4 Tableau de l''endettement'!Q24</f>
        <v>5055.3510404624294</v>
      </c>
    </row>
    <row r="47" spans="1:5" x14ac:dyDescent="0.25">
      <c r="A47" s="205" t="s">
        <v>16</v>
      </c>
      <c r="B47" s="4">
        <f>'5.4 Tableau de l''endettement'!BB20</f>
        <v>66904253.960000001</v>
      </c>
      <c r="C47" s="4">
        <f>'5.4 Tableau de l''endettement'!BB21</f>
        <v>10347.08536343953</v>
      </c>
      <c r="D47" s="4">
        <f>'5.4 Tableau de l''endettement'!BB23</f>
        <v>42123403.110000007</v>
      </c>
      <c r="E47" s="4">
        <f>'5.4 Tableau de l''endettement'!BB24</f>
        <v>6514.5999242189928</v>
      </c>
    </row>
    <row r="48" spans="1:5" x14ac:dyDescent="0.25">
      <c r="A48" s="205" t="s">
        <v>31</v>
      </c>
      <c r="B48" s="4">
        <f>'5.4 Tableau de l''endettement'!R20</f>
        <v>5096463.18</v>
      </c>
      <c r="C48" s="4">
        <f>'5.4 Tableau de l''endettement'!R21</f>
        <v>7178.1171549295768</v>
      </c>
      <c r="D48" s="4">
        <f>'5.4 Tableau de l''endettement'!R23</f>
        <v>-208385.76999999955</v>
      </c>
      <c r="E48" s="4">
        <f>'5.4 Tableau de l''endettement'!R24</f>
        <v>-293.50108450704164</v>
      </c>
    </row>
    <row r="49" spans="1:5" x14ac:dyDescent="0.25">
      <c r="A49" s="205" t="s">
        <v>21</v>
      </c>
      <c r="B49" s="4">
        <f>'5.4 Tableau de l''endettement'!AF20</f>
        <v>16877793.98</v>
      </c>
      <c r="C49" s="4">
        <f>'5.4 Tableau de l''endettement'!AF21</f>
        <v>6541.7806124031013</v>
      </c>
      <c r="D49" s="4">
        <f>'5.4 Tableau de l''endettement'!AF23</f>
        <v>8313209.2300000023</v>
      </c>
      <c r="E49" s="4">
        <f>'5.4 Tableau de l''endettement'!AF24</f>
        <v>3222.1741201550399</v>
      </c>
    </row>
    <row r="50" spans="1:5" x14ac:dyDescent="0.25">
      <c r="A50" s="205" t="s">
        <v>6</v>
      </c>
      <c r="B50" s="4">
        <f>'5.4 Tableau de l''endettement'!AG20</f>
        <v>1682030.3399999999</v>
      </c>
      <c r="C50" s="4">
        <f>'5.4 Tableau de l''endettement'!AG21</f>
        <v>7576.7132432432427</v>
      </c>
      <c r="D50" s="4">
        <f>'5.4 Tableau de l''endettement'!AG23</f>
        <v>-88268.129999999655</v>
      </c>
      <c r="E50" s="4">
        <f>'5.4 Tableau de l''endettement'!AG24</f>
        <v>-397.60418918918765</v>
      </c>
    </row>
    <row r="51" spans="1:5" x14ac:dyDescent="0.25">
      <c r="A51" s="205" t="s">
        <v>12</v>
      </c>
      <c r="B51" s="4">
        <f>'5.4 Tableau de l''endettement'!S20</f>
        <v>937461.24</v>
      </c>
      <c r="C51" s="4">
        <f>'5.4 Tableau de l''endettement'!S21</f>
        <v>3484.9860223048327</v>
      </c>
      <c r="D51" s="4">
        <f>'5.4 Tableau de l''endettement'!S23</f>
        <v>295523.71999999974</v>
      </c>
      <c r="E51" s="4">
        <f>'5.4 Tableau de l''endettement'!S24</f>
        <v>1098.6011895910772</v>
      </c>
    </row>
    <row r="52" spans="1:5" x14ac:dyDescent="0.25">
      <c r="A52" s="205" t="s">
        <v>34</v>
      </c>
      <c r="B52" s="4">
        <f>'5.4 Tableau de l''endettement'!AH20</f>
        <v>1032153.5</v>
      </c>
      <c r="C52" s="4">
        <f>'5.4 Tableau de l''endettement'!AH21</f>
        <v>8001.1899224806202</v>
      </c>
      <c r="D52" s="4">
        <f>'5.4 Tableau de l''endettement'!AH23</f>
        <v>-1005628.19</v>
      </c>
      <c r="E52" s="4">
        <f>'5.4 Tableau de l''endettement'!AH24</f>
        <v>-7795.5673643410846</v>
      </c>
    </row>
    <row r="53" spans="1:5" x14ac:dyDescent="0.25">
      <c r="A53" s="205" t="s">
        <v>59</v>
      </c>
      <c r="B53" s="4">
        <f>'5.4 Tableau de l''endettement'!T20</f>
        <v>3792930.42</v>
      </c>
      <c r="C53" s="4">
        <f>'5.4 Tableau de l''endettement'!T21</f>
        <v>8620.2964090909081</v>
      </c>
      <c r="D53" s="4">
        <f>'5.4 Tableau de l''endettement'!T23</f>
        <v>1952635.5100000002</v>
      </c>
      <c r="E53" s="4">
        <f>'5.4 Tableau de l''endettement'!T24</f>
        <v>4437.8079772727278</v>
      </c>
    </row>
    <row r="54" spans="1:5" x14ac:dyDescent="0.25">
      <c r="A54" s="205" t="s">
        <v>27</v>
      </c>
      <c r="B54" s="4">
        <f>'5.4 Tableau de l''endettement'!U20</f>
        <v>16447939.57</v>
      </c>
      <c r="C54" s="4">
        <f>'5.4 Tableau de l''endettement'!U21</f>
        <v>5093.818386497368</v>
      </c>
      <c r="D54" s="4">
        <f>'5.4 Tableau de l''endettement'!U23</f>
        <v>10826918.77</v>
      </c>
      <c r="E54" s="4">
        <f>'5.4 Tableau de l''endettement'!U24</f>
        <v>3353.0253236296066</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sortState ref="A3:E55">
    <sortCondition ref="A3:A55"/>
  </sortState>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C24" sqref="C2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HLOOKUP($B$4,'5.4 Tableau de l''endettement'!$C$6:$BC$24,2,0)</f>
        <v>50722063.130000003</v>
      </c>
    </row>
    <row r="8" spans="1:3" x14ac:dyDescent="0.25">
      <c r="A8" s="67"/>
      <c r="B8" s="67"/>
      <c r="C8" s="4"/>
    </row>
    <row r="9" spans="1:3" x14ac:dyDescent="0.25">
      <c r="A9" s="67">
        <v>20</v>
      </c>
      <c r="B9" s="67" t="s">
        <v>252</v>
      </c>
      <c r="C9" s="4">
        <f>HLOOKUP($B$4,'5.4 Tableau de l''endettement'!$C$6:$BC$24,4,0)</f>
        <v>146151956.10000002</v>
      </c>
    </row>
    <row r="10" spans="1:3" x14ac:dyDescent="0.25">
      <c r="A10" s="67"/>
      <c r="B10" s="67"/>
      <c r="C10" s="4"/>
    </row>
    <row r="11" spans="1:3" x14ac:dyDescent="0.25">
      <c r="A11" s="67">
        <v>200</v>
      </c>
      <c r="B11" s="67" t="s">
        <v>451</v>
      </c>
      <c r="C11" s="4">
        <f>HLOOKUP($B$4,'5.4 Tableau de l''endettement'!$C$6:$BC$24,6,0)</f>
        <v>10226270.389999999</v>
      </c>
    </row>
    <row r="12" spans="1:3" x14ac:dyDescent="0.25">
      <c r="A12" s="67"/>
      <c r="B12" s="67"/>
      <c r="C12" s="4"/>
    </row>
    <row r="13" spans="1:3" x14ac:dyDescent="0.25">
      <c r="A13" s="67">
        <v>201</v>
      </c>
      <c r="B13" s="67" t="s">
        <v>254</v>
      </c>
      <c r="C13" s="4">
        <f>HLOOKUP($B$4,'5.4 Tableau de l''endettement'!$C$6:$BC$24,8,0)</f>
        <v>37051659</v>
      </c>
    </row>
    <row r="14" spans="1:3" x14ac:dyDescent="0.25">
      <c r="A14" s="67"/>
      <c r="B14" s="67"/>
      <c r="C14" s="4"/>
    </row>
    <row r="15" spans="1:3" x14ac:dyDescent="0.25">
      <c r="A15" s="67">
        <v>206</v>
      </c>
      <c r="B15" s="67" t="s">
        <v>257</v>
      </c>
      <c r="C15" s="4">
        <f>HLOOKUP($B$4,'5.4 Tableau de l''endettement'!$C$6:$BC$24,10,0)</f>
        <v>95091195.150000006</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142369124.54000002</v>
      </c>
    </row>
    <row r="21" spans="1:3" x14ac:dyDescent="0.25">
      <c r="A21" s="67"/>
      <c r="B21" s="69" t="s">
        <v>449</v>
      </c>
      <c r="C21" s="70">
        <f>HLOOKUP($B$4,'5.4 Tableau de l''endettement'!$C$6:$BC$24,16,0)</f>
        <v>11408.696573443387</v>
      </c>
    </row>
    <row r="22" spans="1:3" x14ac:dyDescent="0.25">
      <c r="A22" s="67"/>
      <c r="B22" s="7"/>
      <c r="C22" s="4"/>
    </row>
    <row r="23" spans="1:3" x14ac:dyDescent="0.25">
      <c r="A23" s="67"/>
      <c r="B23" s="99" t="s">
        <v>638</v>
      </c>
      <c r="C23" s="100">
        <f>HLOOKUP($B$4,'5.4 Tableau de l''endettement'!$C$6:$BC$24,18,0)</f>
        <v>95429892.970000029</v>
      </c>
    </row>
    <row r="24" spans="1:3" x14ac:dyDescent="0.25">
      <c r="A24" s="67"/>
      <c r="B24" s="69" t="s">
        <v>449</v>
      </c>
      <c r="C24" s="70">
        <f>HLOOKUP($B$4,'5.4 Tableau de l''endettement'!$C$6:$BC$24,19,0)</f>
        <v>7647.2387987819557</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50722063</v>
      </c>
    </row>
    <row r="30" spans="1:3" x14ac:dyDescent="0.25">
      <c r="A30" s="67"/>
      <c r="B30" s="67"/>
      <c r="C30" s="4"/>
    </row>
    <row r="31" spans="1:3" x14ac:dyDescent="0.25">
      <c r="A31" s="67">
        <v>20</v>
      </c>
      <c r="B31" s="67" t="s">
        <v>252</v>
      </c>
      <c r="C31" s="4">
        <f>HLOOKUP($B$4,'5.4 Tableau de l''endettement'!$C$6:$BC$49,26,0)</f>
        <v>146151956.09999999</v>
      </c>
    </row>
    <row r="32" spans="1:3" x14ac:dyDescent="0.25">
      <c r="A32" s="67"/>
      <c r="B32" s="67"/>
      <c r="C32" s="4"/>
    </row>
    <row r="33" spans="1:3" x14ac:dyDescent="0.25">
      <c r="A33" s="67">
        <v>200</v>
      </c>
      <c r="B33" s="67" t="s">
        <v>451</v>
      </c>
      <c r="C33" s="4">
        <f>HLOOKUP($B$4,'5.4 Tableau de l''endettement'!$C$6:$BC$49,28,0)</f>
        <v>10226270.390000001</v>
      </c>
    </row>
    <row r="34" spans="1:3" x14ac:dyDescent="0.25">
      <c r="A34" s="67"/>
      <c r="B34" s="67"/>
      <c r="C34" s="4"/>
    </row>
    <row r="35" spans="1:3" x14ac:dyDescent="0.25">
      <c r="A35" s="67">
        <v>201</v>
      </c>
      <c r="B35" s="67" t="s">
        <v>254</v>
      </c>
      <c r="C35" s="4">
        <f>HLOOKUP($B$4,'5.4 Tableau de l''endettement'!$C$6:$BC$49,30,0)</f>
        <v>37051659</v>
      </c>
    </row>
    <row r="36" spans="1:3" x14ac:dyDescent="0.25">
      <c r="A36" s="67"/>
      <c r="B36" s="67"/>
      <c r="C36" s="4"/>
    </row>
    <row r="37" spans="1:3" x14ac:dyDescent="0.25">
      <c r="A37" s="67">
        <v>206</v>
      </c>
      <c r="B37" s="67" t="s">
        <v>257</v>
      </c>
      <c r="C37" s="4">
        <f>HLOOKUP($B$4,'5.4 Tableau de l''endettement'!$C$6:$BC$49,32,0)</f>
        <v>95091195.150000006</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142369124.54000002</v>
      </c>
    </row>
    <row r="43" spans="1:3" x14ac:dyDescent="0.25">
      <c r="A43" s="67"/>
      <c r="B43" s="69" t="s">
        <v>449</v>
      </c>
      <c r="C43" s="70">
        <f>HLOOKUP($B$4,'5.4 Tableau de l''endettement'!$C$6:$BC$49,38,0)</f>
        <v>11408.696573443387</v>
      </c>
    </row>
    <row r="44" spans="1:3" x14ac:dyDescent="0.25">
      <c r="A44" s="67"/>
      <c r="B44" s="7"/>
      <c r="C44" s="4"/>
    </row>
    <row r="45" spans="1:3" x14ac:dyDescent="0.25">
      <c r="A45" s="67"/>
      <c r="B45" s="99" t="s">
        <v>640</v>
      </c>
      <c r="C45" s="100">
        <f>HLOOKUP($B$4,'5.4 Tableau de l''endettement'!$C$6:$BC$49,40,0)</f>
        <v>95429893.099999994</v>
      </c>
    </row>
    <row r="46" spans="1:3" x14ac:dyDescent="0.25">
      <c r="A46" s="67"/>
      <c r="B46" s="69" t="s">
        <v>449</v>
      </c>
      <c r="C46" s="70">
        <f>HLOOKUP($B$4,'5.4 Tableau de l''endettement'!$C$6:$BC$49,41,0)</f>
        <v>7647.2388091994544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AZ133" activePane="bottomRight" state="frozen"/>
      <selection pane="topRight" activeCell="E1" sqref="E1"/>
      <selection pane="bottomLeft" activeCell="A4" sqref="A4"/>
      <selection pane="bottomRight" activeCell="BI182" sqref="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N16" sqref="N16"/>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4" t="s">
        <v>645</v>
      </c>
      <c r="B14" s="225"/>
      <c r="C14" s="225"/>
      <c r="D14" s="225"/>
      <c r="E14" s="225"/>
      <c r="F14" s="225"/>
      <c r="G14" s="225"/>
      <c r="H14" s="226"/>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4" t="s">
        <v>657</v>
      </c>
      <c r="B24" s="225"/>
      <c r="C24" s="225"/>
      <c r="D24" s="225"/>
      <c r="E24" s="225"/>
      <c r="F24" s="225"/>
      <c r="G24" s="225"/>
      <c r="H24" s="226"/>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4" t="s">
        <v>665</v>
      </c>
      <c r="B32" s="225"/>
      <c r="C32" s="225"/>
      <c r="D32" s="225"/>
      <c r="E32" s="225"/>
      <c r="F32" s="225"/>
      <c r="G32" s="225"/>
      <c r="H32" s="226"/>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4" t="s">
        <v>676</v>
      </c>
      <c r="B42" s="225"/>
      <c r="C42" s="225"/>
      <c r="D42" s="225"/>
      <c r="E42" s="225"/>
      <c r="F42" s="225"/>
      <c r="G42" s="225"/>
      <c r="H42" s="226"/>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4" t="s">
        <v>687</v>
      </c>
      <c r="B53" s="225"/>
      <c r="C53" s="225"/>
      <c r="D53" s="225"/>
      <c r="E53" s="225"/>
      <c r="F53" s="225"/>
      <c r="G53" s="225"/>
      <c r="H53" s="226"/>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4" t="s">
        <v>696</v>
      </c>
      <c r="B62" s="225"/>
      <c r="C62" s="225"/>
      <c r="D62" s="225"/>
      <c r="E62" s="225"/>
      <c r="F62" s="225"/>
      <c r="G62" s="225"/>
      <c r="H62" s="226"/>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4" t="s">
        <v>705</v>
      </c>
      <c r="B71" s="225"/>
      <c r="C71" s="225"/>
      <c r="D71" s="225"/>
      <c r="E71" s="225"/>
      <c r="F71" s="225"/>
      <c r="G71" s="225"/>
      <c r="H71" s="226"/>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4" t="s">
        <v>717</v>
      </c>
      <c r="B81" s="225"/>
      <c r="C81" s="225"/>
      <c r="D81" s="225"/>
      <c r="E81" s="225"/>
      <c r="F81" s="225"/>
      <c r="G81" s="225"/>
      <c r="H81" s="226"/>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4" t="s">
        <v>724</v>
      </c>
      <c r="B89" s="225"/>
      <c r="C89" s="225"/>
      <c r="D89" s="225"/>
      <c r="E89" s="225"/>
      <c r="F89" s="225"/>
      <c r="G89" s="225"/>
      <c r="H89" s="226"/>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4" t="s">
        <v>732</v>
      </c>
      <c r="B98" s="225"/>
      <c r="C98" s="225"/>
      <c r="D98" s="225"/>
      <c r="E98" s="225"/>
      <c r="F98" s="225"/>
      <c r="G98" s="225"/>
      <c r="H98" s="226"/>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61"/>
  <sheetViews>
    <sheetView workbookViewId="0">
      <pane xSplit="4" ySplit="3" topLeftCell="AZ17" activePane="bottomRight" state="frozen"/>
      <selection pane="topRight" activeCell="E1" sqref="E1"/>
      <selection pane="bottomLeft" activeCell="A4" sqref="A4"/>
      <selection pane="bottomRight" activeCell="BF26" sqref="BF26"/>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 min="62" max="62" width="12.42578125" bestFit="1" customWidth="1"/>
    <col min="64" max="64" width="12.42578125" bestFit="1"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4" x14ac:dyDescent="0.25">
      <c r="C33">
        <v>90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4"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4"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4"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4"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4"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4"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4"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4"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4"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4"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4"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4"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4"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4"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4"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c r="BL48" s="4">
        <f>BF48+BF26</f>
        <v>14311012.9</v>
      </c>
    </row>
    <row r="49" spans="1:62"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2"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2"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2"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2"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2" x14ac:dyDescent="0.25">
      <c r="C54">
        <v>90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c r="BJ54" s="4">
        <f>BG54+BH54+BI54</f>
        <v>13750904.800000001</v>
      </c>
    </row>
    <row r="55" spans="1:62"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2"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2"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2"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2"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2"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2"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J50"/>
  <sheetViews>
    <sheetView workbookViewId="0">
      <pane xSplit="4" ySplit="11" topLeftCell="AZ12" activePane="bottomRight" state="frozen"/>
      <selection pane="topRight" activeCell="E1" sqref="E1"/>
      <selection pane="bottomLeft" activeCell="A12" sqref="A12"/>
      <selection pane="bottomRight" activeCell="BI25" sqref="BI25"/>
    </sheetView>
  </sheetViews>
  <sheetFormatPr baseColWidth="10" defaultRowHeight="15" x14ac:dyDescent="0.25"/>
  <cols>
    <col min="1" max="1" width="51.85546875" customWidth="1"/>
    <col min="2" max="2" width="7.42578125" customWidth="1"/>
    <col min="4" max="4" width="22.85546875" customWidth="1"/>
    <col min="5" max="60" width="15.7109375" customWidth="1"/>
    <col min="62" max="62" width="13.42578125" bestFit="1" customWidth="1"/>
  </cols>
  <sheetData>
    <row r="8" spans="1:62" ht="18.75" x14ac:dyDescent="0.3">
      <c r="A8" s="227" t="s">
        <v>494</v>
      </c>
      <c r="B8" s="227"/>
      <c r="C8" s="227"/>
      <c r="D8" s="227"/>
    </row>
    <row r="10" spans="1:62"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2"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2"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c r="BJ12" s="4"/>
    </row>
    <row r="13" spans="1:62"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c r="BJ13" s="4"/>
    </row>
    <row r="14" spans="1:62" ht="15.75" thickBot="1" x14ac:dyDescent="0.3">
      <c r="A14" s="117"/>
      <c r="B14" s="118"/>
      <c r="C14" s="117"/>
      <c r="D14" s="119"/>
      <c r="BF14" s="4"/>
      <c r="BG14" s="4"/>
      <c r="BH14" s="4"/>
      <c r="BJ14" s="4"/>
    </row>
    <row r="15" spans="1:62"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c r="BJ15" s="4"/>
    </row>
    <row r="16" spans="1:62" x14ac:dyDescent="0.25">
      <c r="B16" s="121"/>
      <c r="D16" s="4"/>
      <c r="BF16" s="4"/>
      <c r="BG16" s="4"/>
      <c r="BH16" s="4"/>
      <c r="BJ16" s="4"/>
    </row>
    <row r="17" spans="1:62"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c r="BJ17" s="4"/>
    </row>
    <row r="18" spans="1:62"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c r="BJ18" s="4"/>
    </row>
    <row r="19" spans="1:62" x14ac:dyDescent="0.25">
      <c r="A19" s="114" t="s">
        <v>499</v>
      </c>
      <c r="B19" s="115" t="s">
        <v>500</v>
      </c>
      <c r="C19" s="122" t="s">
        <v>501</v>
      </c>
      <c r="D19" s="116">
        <f>'Base de données indicateurs1'!BF48-'Base de données indicateurs1'!BF26</f>
        <v>6227189.0999999996</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c r="BJ19" s="4"/>
    </row>
    <row r="20" spans="1:62"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c r="BJ20" s="4"/>
    </row>
    <row r="21" spans="1:62" ht="15.75" thickBot="1" x14ac:dyDescent="0.3">
      <c r="A21" s="117"/>
      <c r="B21" s="118"/>
      <c r="C21" s="117"/>
      <c r="D21" s="119"/>
      <c r="BF21" s="4"/>
      <c r="BG21" s="4"/>
      <c r="BH21" s="4"/>
      <c r="BJ21" s="4"/>
    </row>
    <row r="22" spans="1:62" ht="15.75" thickBot="1" x14ac:dyDescent="0.3">
      <c r="A22" s="7" t="s">
        <v>503</v>
      </c>
      <c r="B22" s="64"/>
      <c r="C22" s="7"/>
      <c r="D22" s="120">
        <f>D17+D18+D19+D20</f>
        <v>200452497.18000004</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SUM(E22:W22)</f>
        <v>101700802.00999998</v>
      </c>
      <c r="BG22" s="4">
        <f>SUM(X22:AJ22)</f>
        <v>30448285.250000004</v>
      </c>
      <c r="BH22" s="4">
        <f>SUM(AK22:BE22)</f>
        <v>68303409.919999987</v>
      </c>
      <c r="BJ22" s="4"/>
    </row>
    <row r="23" spans="1:62" ht="15.75" thickBot="1" x14ac:dyDescent="0.3">
      <c r="B23" s="121"/>
      <c r="D23" s="4"/>
      <c r="BF23" s="4"/>
      <c r="BG23" s="4"/>
      <c r="BH23" s="4"/>
      <c r="BJ23" s="4"/>
    </row>
    <row r="24" spans="1:62" ht="15.75" thickBot="1" x14ac:dyDescent="0.3">
      <c r="A24" s="7" t="s">
        <v>504</v>
      </c>
      <c r="B24" s="121"/>
      <c r="D24" s="120">
        <f>IF(D22&lt;&gt;0,D15/D22,"")*100</f>
        <v>142.75155549349287</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2" x14ac:dyDescent="0.25">
      <c r="A25" s="123" t="s">
        <v>505</v>
      </c>
      <c r="B25" s="121"/>
      <c r="D25" s="4"/>
      <c r="BF25" s="4"/>
      <c r="BG25" s="4"/>
      <c r="BH25" s="4"/>
    </row>
    <row r="26" spans="1:62" x14ac:dyDescent="0.25">
      <c r="A26" s="123"/>
      <c r="B26" s="121"/>
      <c r="D26" s="4"/>
      <c r="BF26" s="4"/>
      <c r="BG26" s="4"/>
      <c r="BH26" s="4"/>
    </row>
    <row r="27" spans="1:62" x14ac:dyDescent="0.25">
      <c r="B27" s="121"/>
      <c r="D27" s="4"/>
      <c r="BF27" s="4"/>
      <c r="BG27" s="4"/>
      <c r="BH27" s="4"/>
    </row>
    <row r="28" spans="1:62" x14ac:dyDescent="0.25">
      <c r="A28" s="7" t="s">
        <v>506</v>
      </c>
      <c r="B28" s="121"/>
      <c r="D28" s="4"/>
      <c r="BF28" s="4"/>
      <c r="BG28" s="4"/>
      <c r="BH28" s="4"/>
    </row>
    <row r="29" spans="1:62" x14ac:dyDescent="0.25">
      <c r="B29" s="121"/>
      <c r="D29" s="4"/>
      <c r="BF29" s="4"/>
      <c r="BG29" s="4"/>
      <c r="BH29" s="4"/>
    </row>
    <row r="30" spans="1:62" x14ac:dyDescent="0.25">
      <c r="A30" s="111" t="s">
        <v>507</v>
      </c>
      <c r="B30" s="112"/>
      <c r="C30" s="124">
        <v>90</v>
      </c>
      <c r="D30" s="210">
        <f>'Base de données indicateurs1'!BF54</f>
        <v>13750904.800000003</v>
      </c>
      <c r="E30" s="145">
        <f>'Base de données indicateurs1'!E54</f>
        <v>44928.100000000006</v>
      </c>
      <c r="F30" s="145">
        <f>'Base de données indicateurs1'!F54</f>
        <v>-48557.319999999992</v>
      </c>
      <c r="G30" s="145">
        <f>'Base de données indicateurs1'!G54</f>
        <v>-94828.599999999991</v>
      </c>
      <c r="H30" s="145">
        <f>'Base de données indicateurs1'!H54</f>
        <v>106112.79000000001</v>
      </c>
      <c r="I30" s="145">
        <f>'Base de données indicateurs1'!I54</f>
        <v>509529.57</v>
      </c>
      <c r="J30" s="145">
        <f>'Base de données indicateurs1'!J54</f>
        <v>355331.14</v>
      </c>
      <c r="K30" s="145">
        <f>'Base de données indicateurs1'!K54</f>
        <v>521660.97000000003</v>
      </c>
      <c r="L30" s="145">
        <f>'Base de données indicateurs1'!L54</f>
        <v>3551526.5</v>
      </c>
      <c r="M30" s="145">
        <f>'Base de données indicateurs1'!M54</f>
        <v>288258.07</v>
      </c>
      <c r="N30" s="145">
        <f>'Base de données indicateurs1'!N54</f>
        <v>-9232.119999999999</v>
      </c>
      <c r="O30" s="145">
        <f>'Base de données indicateurs1'!O54</f>
        <v>713421.97</v>
      </c>
      <c r="P30" s="145">
        <f>'Base de données indicateurs1'!P54</f>
        <v>98362.19</v>
      </c>
      <c r="Q30" s="145">
        <f>'Base de données indicateurs1'!Q54</f>
        <v>-4705.8100000000013</v>
      </c>
      <c r="R30" s="145">
        <f>'Base de données indicateurs1'!R54</f>
        <v>43963.29</v>
      </c>
      <c r="S30" s="145">
        <f>'Base de données indicateurs1'!S54</f>
        <v>-48947.220000000016</v>
      </c>
      <c r="T30" s="145">
        <f>'Base de données indicateurs1'!T54</f>
        <v>544010.83000000007</v>
      </c>
      <c r="U30" s="145">
        <f>'Base de données indicateurs1'!U54</f>
        <v>-15080.91</v>
      </c>
      <c r="V30" s="145">
        <f>'Base de données indicateurs1'!V54</f>
        <v>-314421.67000000004</v>
      </c>
      <c r="W30" s="145">
        <f>'Base de données indicateurs1'!W54</f>
        <v>456199.36</v>
      </c>
      <c r="X30" s="145">
        <f>'Base de données indicateurs1'!X54</f>
        <v>138689.76999999999</v>
      </c>
      <c r="Y30" s="145">
        <f>'Base de données indicateurs1'!Y54</f>
        <v>1766349.46</v>
      </c>
      <c r="Z30" s="145">
        <f>'Base de données indicateurs1'!Z54</f>
        <v>1120099.08</v>
      </c>
      <c r="AA30" s="145">
        <f>'Base de données indicateurs1'!AA54</f>
        <v>10126.51</v>
      </c>
      <c r="AB30" s="145">
        <f>'Base de données indicateurs1'!AB54</f>
        <v>1129.2400000000052</v>
      </c>
      <c r="AC30" s="145">
        <f>'Base de données indicateurs1'!AC54</f>
        <v>-297058.18</v>
      </c>
      <c r="AD30" s="145">
        <f>'Base de données indicateurs1'!AD54</f>
        <v>4584.9600000000064</v>
      </c>
      <c r="AE30" s="145">
        <f>'Base de données indicateurs1'!AE54</f>
        <v>-249384.18</v>
      </c>
      <c r="AF30" s="145">
        <f>'Base de données indicateurs1'!AF54</f>
        <v>76405.579999999987</v>
      </c>
      <c r="AG30" s="145">
        <f>'Base de données indicateurs1'!AG54</f>
        <v>904527.7</v>
      </c>
      <c r="AH30" s="145">
        <f>'Base de données indicateurs1'!AH54</f>
        <v>869734.76</v>
      </c>
      <c r="AI30" s="145">
        <f>'Base de données indicateurs1'!AI54</f>
        <v>-37068.9</v>
      </c>
      <c r="AJ30" s="145">
        <f>'Base de données indicateurs1'!AJ54</f>
        <v>45606.67</v>
      </c>
      <c r="AK30" s="145">
        <f>'Base de données indicateurs1'!AK54</f>
        <v>571824.05000000005</v>
      </c>
      <c r="AL30" s="145">
        <f>'Base de données indicateurs1'!AL54</f>
        <v>45087.840000000004</v>
      </c>
      <c r="AM30" s="145">
        <f>'Base de données indicateurs1'!AM54</f>
        <v>123768.67</v>
      </c>
      <c r="AN30" s="145">
        <f>'Base de données indicateurs1'!AN54</f>
        <v>6229.74</v>
      </c>
      <c r="AO30" s="145">
        <f>'Base de données indicateurs1'!AO54</f>
        <v>209567.68</v>
      </c>
      <c r="AP30" s="145">
        <f>'Base de données indicateurs1'!AP54</f>
        <v>200305.65999999997</v>
      </c>
      <c r="AQ30" s="145">
        <f>'Base de données indicateurs1'!AQ54</f>
        <v>32981.15</v>
      </c>
      <c r="AR30" s="145">
        <f>'Base de données indicateurs1'!AR54</f>
        <v>76558.69</v>
      </c>
      <c r="AS30" s="145">
        <f>'Base de données indicateurs1'!AS54</f>
        <v>1288.75</v>
      </c>
      <c r="AT30" s="145">
        <f>'Base de données indicateurs1'!AT54</f>
        <v>-3462.9399999999951</v>
      </c>
      <c r="AU30" s="145">
        <f>'Base de données indicateurs1'!AU54</f>
        <v>47834.869999999995</v>
      </c>
      <c r="AV30" s="145">
        <f>'Base de données indicateurs1'!AV54</f>
        <v>258416.72000000003</v>
      </c>
      <c r="AW30" s="145">
        <f>'Base de données indicateurs1'!AW54</f>
        <v>82660.81</v>
      </c>
      <c r="AX30" s="145">
        <f>'Base de données indicateurs1'!AX54</f>
        <v>-50574.92</v>
      </c>
      <c r="AY30" s="145">
        <f>'Base de données indicateurs1'!AY54</f>
        <v>-46434.000000000007</v>
      </c>
      <c r="AZ30" s="145">
        <f>'Base de données indicateurs1'!AZ54</f>
        <v>59877.34</v>
      </c>
      <c r="BA30" s="145">
        <f>'Base de données indicateurs1'!BA54</f>
        <v>122026.26000000001</v>
      </c>
      <c r="BB30" s="145">
        <f>'Base de données indicateurs1'!BB54</f>
        <v>134564.66</v>
      </c>
      <c r="BC30" s="145">
        <f>'Base de données indicateurs1'!BC54</f>
        <v>59759.93</v>
      </c>
      <c r="BD30" s="145">
        <f>'Base de données indicateurs1'!BD54</f>
        <v>651336.63000000012</v>
      </c>
      <c r="BE30" s="145">
        <f>'Base de données indicateurs1'!BE54</f>
        <v>116013.61000000002</v>
      </c>
      <c r="BF30" s="4">
        <f t="shared" si="0"/>
        <v>6697531.1300000018</v>
      </c>
      <c r="BG30" s="4">
        <f t="shared" si="1"/>
        <v>4353742.4699999988</v>
      </c>
      <c r="BH30" s="4">
        <f t="shared" si="2"/>
        <v>2699631.1999999997</v>
      </c>
      <c r="BJ30" s="4"/>
    </row>
    <row r="31" spans="1:62"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c r="BJ31" s="4"/>
    </row>
    <row r="32" spans="1:62"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c r="BJ32" s="4"/>
    </row>
    <row r="33" spans="1:62"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c r="BJ33" s="4"/>
    </row>
    <row r="34" spans="1:62"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c r="BJ34" s="4"/>
    </row>
    <row r="35" spans="1:62"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c r="BJ35" s="4"/>
    </row>
    <row r="36" spans="1:62"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c r="BJ36" s="4"/>
    </row>
    <row r="37" spans="1:62"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c r="BJ37" s="4"/>
    </row>
    <row r="38" spans="1:62"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c r="BJ38" s="4"/>
    </row>
    <row r="39" spans="1:62"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c r="BJ39" s="4"/>
    </row>
    <row r="40" spans="1:62" ht="15.75" thickBot="1" x14ac:dyDescent="0.3">
      <c r="B40" s="121"/>
      <c r="D40" s="4"/>
      <c r="BF40" s="4"/>
      <c r="BG40" s="4"/>
      <c r="BH40" s="4"/>
      <c r="BJ40" s="4"/>
    </row>
    <row r="41" spans="1:62"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7834053.4500000002</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19218930.990000002</v>
      </c>
      <c r="BG41" s="4">
        <f t="shared" si="1"/>
        <v>8007832.6999999993</v>
      </c>
      <c r="BH41" s="4">
        <f t="shared" si="2"/>
        <v>10982674.510000002</v>
      </c>
      <c r="BJ41" s="4"/>
    </row>
    <row r="42" spans="1:62" x14ac:dyDescent="0.25">
      <c r="B42" s="121"/>
      <c r="D42" s="4"/>
      <c r="BF42" s="4"/>
      <c r="BG42" s="4"/>
      <c r="BH42" s="4"/>
      <c r="BJ42" s="4"/>
    </row>
    <row r="43" spans="1:62"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f>'Base de données indicateurs1'!V58</f>
        <v>67939.38</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28917547.519999996</v>
      </c>
      <c r="BG43" s="4">
        <f t="shared" si="1"/>
        <v>6686975.8599999994</v>
      </c>
      <c r="BH43" s="4">
        <f t="shared" si="2"/>
        <v>19514888.660000004</v>
      </c>
      <c r="BJ43" s="4"/>
    </row>
    <row r="44" spans="1:62"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f>'Base de données indicateurs1'!V61</f>
        <v>28103</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7014145.1600000001</v>
      </c>
      <c r="BG44" s="4">
        <f t="shared" si="1"/>
        <v>2727366.63</v>
      </c>
      <c r="BH44" s="4">
        <f t="shared" si="2"/>
        <v>6315863.3900000006</v>
      </c>
      <c r="BJ44" s="4"/>
    </row>
    <row r="45" spans="1:62" ht="15.75" thickBot="1" x14ac:dyDescent="0.3">
      <c r="B45" s="110"/>
      <c r="D45" s="4"/>
      <c r="BF45" s="4"/>
      <c r="BG45" s="4"/>
      <c r="BH45" s="4"/>
      <c r="BJ45" s="4"/>
    </row>
    <row r="46" spans="1:62"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39836.380000000005</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21903402.359999999</v>
      </c>
      <c r="BG46" s="4">
        <f t="shared" si="1"/>
        <v>3959609.23</v>
      </c>
      <c r="BH46" s="4">
        <f t="shared" si="2"/>
        <v>13199025.27</v>
      </c>
      <c r="BJ46" s="4"/>
    </row>
    <row r="47" spans="1:62" ht="15.75" thickBot="1" x14ac:dyDescent="0.3">
      <c r="B47" s="110"/>
      <c r="D47" s="4"/>
      <c r="BF47" s="4"/>
      <c r="BG47" s="4"/>
      <c r="BH47" s="4"/>
      <c r="BJ47" s="4"/>
    </row>
    <row r="48" spans="1:62"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64.522567788181405</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-443.91488383231615</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87.744043934916789</v>
      </c>
      <c r="BG48" s="126">
        <f t="shared" si="8"/>
        <v>202.23795417306874</v>
      </c>
      <c r="BH48" s="126">
        <f t="shared" si="8"/>
        <v>83.20822398122435</v>
      </c>
      <c r="BJ48" s="4"/>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7" t="s">
        <v>494</v>
      </c>
      <c r="B8" s="227"/>
      <c r="C8" s="227"/>
      <c r="D8" s="227"/>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J49"/>
  <sheetViews>
    <sheetView workbookViewId="0">
      <pane xSplit="4" ySplit="11" topLeftCell="E12" activePane="bottomRight" state="frozen"/>
      <selection pane="topRight" activeCell="E1" sqref="E1"/>
      <selection pane="bottomLeft" activeCell="A12" sqref="A12"/>
      <selection pane="bottomRight" activeCell="E22" sqref="E22"/>
    </sheetView>
  </sheetViews>
  <sheetFormatPr baseColWidth="10" defaultRowHeight="15" x14ac:dyDescent="0.25"/>
  <cols>
    <col min="1" max="1" width="51.85546875" customWidth="1"/>
    <col min="2" max="2" width="7.42578125" customWidth="1"/>
    <col min="4" max="4" width="22.85546875" customWidth="1"/>
    <col min="5" max="60" width="15.7109375" customWidth="1"/>
    <col min="62" max="62" width="16" customWidth="1"/>
  </cols>
  <sheetData>
    <row r="8" spans="1:60" ht="18.75" x14ac:dyDescent="0.3">
      <c r="A8" s="227" t="s">
        <v>494</v>
      </c>
      <c r="B8" s="227"/>
      <c r="C8" s="227"/>
      <c r="D8" s="227"/>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2"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2" ht="15.75" thickBot="1" x14ac:dyDescent="0.3">
      <c r="A18" s="123"/>
      <c r="B18" s="121"/>
      <c r="D18" s="4"/>
      <c r="BF18" s="4"/>
      <c r="BG18" s="4"/>
      <c r="BH18" s="4"/>
    </row>
    <row r="19" spans="1:62"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2" x14ac:dyDescent="0.25">
      <c r="A20" s="123" t="s">
        <v>545</v>
      </c>
      <c r="B20" s="121"/>
      <c r="D20" s="4"/>
      <c r="BF20" s="4"/>
      <c r="BG20" s="4"/>
      <c r="BH20" s="4"/>
    </row>
    <row r="21" spans="1:62" x14ac:dyDescent="0.25">
      <c r="A21" s="123"/>
      <c r="B21" s="121"/>
      <c r="D21" s="4"/>
      <c r="BF21" s="4"/>
      <c r="BG21" s="4"/>
      <c r="BH21" s="4"/>
    </row>
    <row r="22" spans="1:62" x14ac:dyDescent="0.25">
      <c r="A22" s="7" t="s">
        <v>546</v>
      </c>
      <c r="B22" s="110"/>
      <c r="C22" s="65" t="s">
        <v>496</v>
      </c>
      <c r="D22" s="128" t="s">
        <v>497</v>
      </c>
      <c r="BF22" s="4"/>
      <c r="BG22" s="4"/>
      <c r="BH22" s="4"/>
    </row>
    <row r="23" spans="1:62" ht="15.75" thickBot="1" x14ac:dyDescent="0.3">
      <c r="B23" s="110"/>
      <c r="D23" s="4"/>
      <c r="BF23" s="4"/>
      <c r="BG23" s="4"/>
      <c r="BH23" s="4"/>
    </row>
    <row r="24" spans="1:62" ht="15.75" thickBot="1" x14ac:dyDescent="0.3">
      <c r="A24" s="7" t="s">
        <v>547</v>
      </c>
      <c r="D24" s="120">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7834053.4500000002</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19218930.990000002</v>
      </c>
      <c r="BG24" s="4">
        <f t="shared" si="1"/>
        <v>8007832.6999999993</v>
      </c>
      <c r="BH24" s="4">
        <f t="shared" si="2"/>
        <v>10982674.510000002</v>
      </c>
      <c r="BJ24" s="4"/>
    </row>
    <row r="25" spans="1:62" ht="15.75" thickBot="1" x14ac:dyDescent="0.3">
      <c r="A25" s="7"/>
      <c r="D25" s="4"/>
      <c r="BF25" s="4"/>
      <c r="BG25" s="4"/>
      <c r="BH25" s="4"/>
      <c r="BJ25" s="4"/>
    </row>
    <row r="26" spans="1:62"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c r="BJ26" s="4"/>
    </row>
    <row r="27" spans="1:62" ht="15.75" thickBot="1" x14ac:dyDescent="0.3">
      <c r="A27" s="7"/>
      <c r="D27" s="4"/>
      <c r="BF27" s="4"/>
      <c r="BG27" s="4"/>
      <c r="BH27" s="4"/>
    </row>
    <row r="28" spans="1:62" ht="15.75"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8.0038165856233814</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9.4942443899254609</v>
      </c>
      <c r="BG28" s="129">
        <f t="shared" si="6"/>
        <v>14.732224725151365</v>
      </c>
      <c r="BH28" s="129">
        <f t="shared" si="6"/>
        <v>10.468446969100938</v>
      </c>
    </row>
    <row r="29" spans="1:62" x14ac:dyDescent="0.25">
      <c r="A29" s="123" t="s">
        <v>549</v>
      </c>
      <c r="D29" s="126"/>
      <c r="BF29" s="4"/>
      <c r="BG29" s="4"/>
      <c r="BH29" s="4"/>
    </row>
    <row r="30" spans="1:62" x14ac:dyDescent="0.25">
      <c r="D30" s="4"/>
      <c r="BF30" s="4"/>
      <c r="BG30" s="4"/>
      <c r="BH30" s="4"/>
    </row>
    <row r="31" spans="1:62" x14ac:dyDescent="0.25">
      <c r="A31" s="7" t="s">
        <v>550</v>
      </c>
      <c r="C31" s="65" t="s">
        <v>496</v>
      </c>
      <c r="D31" s="128" t="s">
        <v>497</v>
      </c>
      <c r="BF31" s="4"/>
      <c r="BG31" s="4"/>
      <c r="BH31" s="4"/>
    </row>
    <row r="32" spans="1:62"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14"/>
  <sheetViews>
    <sheetView tabSelected="1" workbookViewId="0">
      <pane xSplit="4" ySplit="5" topLeftCell="BA6" activePane="bottomRight" state="frozen"/>
      <selection pane="topRight" activeCell="E1" sqref="E1"/>
      <selection pane="bottomLeft" activeCell="A12" sqref="A12"/>
      <selection pane="bottomRight" activeCell="BG16" sqref="BG16"/>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7.7109375" customWidth="1"/>
    <col min="62" max="62" width="13.42578125" bestFit="1" customWidth="1"/>
  </cols>
  <sheetData>
    <row r="2" spans="1:62" ht="18.75" x14ac:dyDescent="0.3">
      <c r="A2" s="227" t="s">
        <v>494</v>
      </c>
      <c r="B2" s="227"/>
      <c r="C2" s="227"/>
      <c r="D2" s="227"/>
    </row>
    <row r="4" spans="1:62" x14ac:dyDescent="0.25">
      <c r="A4" s="7" t="s">
        <v>561</v>
      </c>
      <c r="B4" s="110"/>
      <c r="C4" s="65" t="s">
        <v>496</v>
      </c>
      <c r="D4" s="65" t="s">
        <v>497</v>
      </c>
      <c r="E4" s="146">
        <f>'4.1 Comptes 2021 natures'!E2</f>
        <v>947</v>
      </c>
      <c r="F4" s="146">
        <f>'4.1 Comptes 2021 natures'!F2</f>
        <v>265</v>
      </c>
      <c r="G4" s="146">
        <f>'4.1 Comptes 2021 natures'!G2</f>
        <v>469</v>
      </c>
      <c r="H4" s="146">
        <f>'4.1 Comptes 2021 natures'!H2</f>
        <v>439</v>
      </c>
      <c r="I4" s="146">
        <f>'4.1 Comptes 2021 natures'!I2</f>
        <v>3728</v>
      </c>
      <c r="J4" s="146">
        <f>'4.1 Comptes 2021 natures'!J2</f>
        <v>3345</v>
      </c>
      <c r="K4" s="146">
        <f>'4.1 Comptes 2021 natures'!K2</f>
        <v>2652</v>
      </c>
      <c r="L4" s="147">
        <f>'4.1 Comptes 2021 natures'!L2</f>
        <v>12479</v>
      </c>
      <c r="M4" s="147">
        <f>'4.1 Comptes 2021 natures'!M2</f>
        <v>1359</v>
      </c>
      <c r="N4" s="147">
        <f>'4.1 Comptes 2021 natures'!N2</f>
        <v>117</v>
      </c>
      <c r="O4" s="147">
        <f>'4.1 Comptes 2021 natures'!O2</f>
        <v>7261</v>
      </c>
      <c r="P4" s="147">
        <f>'4.1 Comptes 2021 natures'!P2</f>
        <v>538</v>
      </c>
      <c r="Q4" s="147">
        <f>'4.1 Comptes 2021 natures'!Q2</f>
        <v>111</v>
      </c>
      <c r="R4" s="147">
        <f>'4.1 Comptes 2021 natures'!R2</f>
        <v>421</v>
      </c>
      <c r="S4" s="147">
        <f>'4.1 Comptes 2021 natures'!S2</f>
        <v>346</v>
      </c>
      <c r="T4" s="147">
        <f>'4.1 Comptes 2021 natures'!T2</f>
        <v>710</v>
      </c>
      <c r="U4" s="147">
        <f>'4.1 Comptes 2021 natures'!U2</f>
        <v>269</v>
      </c>
      <c r="V4" s="147">
        <f>'4.1 Comptes 2021 natures'!V2</f>
        <v>440</v>
      </c>
      <c r="W4" s="147">
        <f>'4.1 Comptes 2021 natures'!W2</f>
        <v>3229</v>
      </c>
      <c r="X4" s="148">
        <f>'4.1 Comptes 2021 natures'!X2</f>
        <v>310</v>
      </c>
      <c r="Y4" s="148">
        <f>'4.1 Comptes 2021 natures'!Y2</f>
        <v>1270</v>
      </c>
      <c r="Z4" s="148">
        <f>'4.1 Comptes 2021 natures'!Z2</f>
        <v>1506</v>
      </c>
      <c r="AA4" s="148">
        <f>'4.1 Comptes 2021 natures'!AA2</f>
        <v>96</v>
      </c>
      <c r="AB4" s="148">
        <f>'4.1 Comptes 2021 natures'!AB2</f>
        <v>148</v>
      </c>
      <c r="AC4" s="148">
        <f>'4.1 Comptes 2021 natures'!AC2</f>
        <v>518</v>
      </c>
      <c r="AD4" s="148">
        <f>'4.1 Comptes 2021 natures'!AD2</f>
        <v>701</v>
      </c>
      <c r="AE4" s="148">
        <f>'4.1 Comptes 2021 natures'!AE2</f>
        <v>564</v>
      </c>
      <c r="AF4" s="148">
        <f>'4.1 Comptes 2021 natures'!AF2</f>
        <v>525</v>
      </c>
      <c r="AG4" s="148">
        <f>'4.1 Comptes 2021 natures'!AG2</f>
        <v>1909</v>
      </c>
      <c r="AH4" s="148">
        <f>'4.1 Comptes 2021 natures'!AH2</f>
        <v>2580</v>
      </c>
      <c r="AI4" s="148">
        <f>'4.1 Comptes 2021 natures'!AI2</f>
        <v>222</v>
      </c>
      <c r="AJ4" s="148">
        <f>'4.1 Comptes 2021 natures'!AJ2</f>
        <v>129</v>
      </c>
      <c r="AK4" s="149">
        <f>'4.1 Comptes 2021 natures'!AK2</f>
        <v>1891</v>
      </c>
      <c r="AL4" s="149">
        <f>'4.1 Comptes 2021 natures'!AL2</f>
        <v>1126</v>
      </c>
      <c r="AM4" s="149">
        <f>'4.1 Comptes 2021 natures'!AM2</f>
        <v>1225</v>
      </c>
      <c r="AN4" s="149">
        <f>'4.1 Comptes 2021 natures'!AN2</f>
        <v>117</v>
      </c>
      <c r="AO4" s="149">
        <f>'4.1 Comptes 2021 natures'!AO2</f>
        <v>1185</v>
      </c>
      <c r="AP4" s="149">
        <f>'4.1 Comptes 2021 natures'!AP2</f>
        <v>642</v>
      </c>
      <c r="AQ4" s="149">
        <f>'4.1 Comptes 2021 natures'!AQ2</f>
        <v>633</v>
      </c>
      <c r="AR4" s="149">
        <f>'4.1 Comptes 2021 natures'!AR2</f>
        <v>1284</v>
      </c>
      <c r="AS4" s="149">
        <f>'4.1 Comptes 2021 natures'!AS2</f>
        <v>731</v>
      </c>
      <c r="AT4" s="149">
        <f>'4.1 Comptes 2021 natures'!AT2</f>
        <v>1016</v>
      </c>
      <c r="AU4" s="149">
        <f>'4.1 Comptes 2021 natures'!AU2</f>
        <v>304</v>
      </c>
      <c r="AV4" s="149">
        <f>'4.1 Comptes 2021 natures'!AV2</f>
        <v>2412</v>
      </c>
      <c r="AW4" s="149">
        <f>'4.1 Comptes 2021 natures'!AW2</f>
        <v>735</v>
      </c>
      <c r="AX4" s="149">
        <f>'4.1 Comptes 2021 natures'!AX2</f>
        <v>185</v>
      </c>
      <c r="AY4" s="149">
        <f>'4.1 Comptes 2021 natures'!AY2</f>
        <v>340</v>
      </c>
      <c r="AZ4" s="149">
        <f>'4.1 Comptes 2021 natures'!AZ2</f>
        <v>1697</v>
      </c>
      <c r="BA4" s="149">
        <f>'4.1 Comptes 2021 natures'!BA2</f>
        <v>390</v>
      </c>
      <c r="BB4" s="149">
        <f>'4.1 Comptes 2021 natures'!BB2</f>
        <v>1073</v>
      </c>
      <c r="BC4" s="150">
        <f>'4.1 Comptes 2021 natures'!BC2</f>
        <v>184</v>
      </c>
      <c r="BD4" s="150">
        <f>'4.1 Comptes 2021 natures'!BD2</f>
        <v>6466</v>
      </c>
      <c r="BE4" s="149">
        <f>'4.1 Comptes 2021 natures'!BE2</f>
        <v>559</v>
      </c>
      <c r="BF4" s="152">
        <f>'4.1 Comptes 2021 natures'!BG2</f>
        <v>39125</v>
      </c>
      <c r="BG4" s="152">
        <f>'4.1 Comptes 2021 natures'!BH2</f>
        <v>10478</v>
      </c>
      <c r="BH4" s="152">
        <f>'4.1 Comptes 2021 natures'!BI2</f>
        <v>24195</v>
      </c>
    </row>
    <row r="5" spans="1:62" x14ac:dyDescent="0.25">
      <c r="B5" s="110"/>
      <c r="E5" s="43" t="s">
        <v>56</v>
      </c>
      <c r="F5" s="43" t="s">
        <v>18</v>
      </c>
      <c r="G5" s="43" t="s">
        <v>57</v>
      </c>
      <c r="H5" s="43" t="s">
        <v>53</v>
      </c>
      <c r="I5" s="43" t="s">
        <v>33</v>
      </c>
      <c r="J5" s="43" t="s">
        <v>10</v>
      </c>
      <c r="K5" s="43" t="s">
        <v>15</v>
      </c>
      <c r="L5" s="43" t="s">
        <v>28</v>
      </c>
      <c r="M5" s="43" t="s">
        <v>42</v>
      </c>
      <c r="N5" s="43" t="s">
        <v>23</v>
      </c>
      <c r="O5" s="43" t="s">
        <v>22</v>
      </c>
      <c r="P5" s="43" t="s">
        <v>13</v>
      </c>
      <c r="Q5" s="43" t="s">
        <v>17</v>
      </c>
      <c r="R5" s="43" t="s">
        <v>43</v>
      </c>
      <c r="S5" s="43" t="s">
        <v>40</v>
      </c>
      <c r="T5" s="43" t="s">
        <v>31</v>
      </c>
      <c r="U5" s="43" t="s">
        <v>12</v>
      </c>
      <c r="V5" s="43" t="s">
        <v>59</v>
      </c>
      <c r="W5" s="43" t="s">
        <v>27</v>
      </c>
      <c r="X5" s="44" t="s">
        <v>30</v>
      </c>
      <c r="Y5" s="44" t="s">
        <v>20</v>
      </c>
      <c r="Z5" s="44" t="s">
        <v>45</v>
      </c>
      <c r="AA5" s="44" t="s">
        <v>71</v>
      </c>
      <c r="AB5" s="44" t="s">
        <v>39</v>
      </c>
      <c r="AC5" s="44" t="s">
        <v>19</v>
      </c>
      <c r="AD5" s="44" t="s">
        <v>41</v>
      </c>
      <c r="AE5" s="44" t="s">
        <v>36</v>
      </c>
      <c r="AF5" s="44" t="s">
        <v>7</v>
      </c>
      <c r="AG5" s="44" t="s">
        <v>55</v>
      </c>
      <c r="AH5" s="44" t="s">
        <v>21</v>
      </c>
      <c r="AI5" s="44" t="s">
        <v>6</v>
      </c>
      <c r="AJ5" s="44" t="s">
        <v>34</v>
      </c>
      <c r="AK5" s="45" t="s">
        <v>52</v>
      </c>
      <c r="AL5" s="45" t="s">
        <v>14</v>
      </c>
      <c r="AM5" s="45" t="s">
        <v>32</v>
      </c>
      <c r="AN5" s="45" t="s">
        <v>29</v>
      </c>
      <c r="AO5" s="45" t="s">
        <v>26</v>
      </c>
      <c r="AP5" s="45" t="s">
        <v>48</v>
      </c>
      <c r="AQ5" s="45" t="s">
        <v>44</v>
      </c>
      <c r="AR5" s="45" t="s">
        <v>37</v>
      </c>
      <c r="AS5" s="45" t="s">
        <v>51</v>
      </c>
      <c r="AT5" s="45" t="s">
        <v>8</v>
      </c>
      <c r="AU5" s="45" t="s">
        <v>24</v>
      </c>
      <c r="AV5" s="45" t="s">
        <v>9</v>
      </c>
      <c r="AW5" s="45" t="s">
        <v>62</v>
      </c>
      <c r="AX5" s="45" t="s">
        <v>46</v>
      </c>
      <c r="AY5" s="45" t="s">
        <v>35</v>
      </c>
      <c r="AZ5" s="45" t="s">
        <v>49</v>
      </c>
      <c r="BA5" s="45" t="s">
        <v>47</v>
      </c>
      <c r="BB5" s="45" t="s">
        <v>58</v>
      </c>
      <c r="BC5" s="45" t="s">
        <v>50</v>
      </c>
      <c r="BD5" s="45" t="s">
        <v>16</v>
      </c>
      <c r="BE5" s="45" t="s">
        <v>25</v>
      </c>
      <c r="BF5" s="48" t="s">
        <v>28</v>
      </c>
      <c r="BG5" s="50" t="s">
        <v>64</v>
      </c>
      <c r="BH5" s="46" t="s">
        <v>16</v>
      </c>
    </row>
    <row r="6" spans="1:62" x14ac:dyDescent="0.25">
      <c r="A6" s="111" t="s">
        <v>562</v>
      </c>
      <c r="B6" s="112" t="s">
        <v>500</v>
      </c>
      <c r="C6" s="111">
        <v>299</v>
      </c>
      <c r="D6" s="113">
        <f>'Base de données indicateurs1'!BF14</f>
        <v>100865812.59000003</v>
      </c>
      <c r="E6" s="4">
        <f>'Base de données indicateurs1'!E14</f>
        <v>2069048.43</v>
      </c>
      <c r="F6" s="4">
        <f>'Base de données indicateurs1'!F14</f>
        <v>127490.92</v>
      </c>
      <c r="G6" s="4">
        <f>'Base de données indicateurs1'!G14</f>
        <v>-139643.88</v>
      </c>
      <c r="H6" s="4">
        <f>'Base de données indicateurs1'!H14</f>
        <v>1172311.1200000001</v>
      </c>
      <c r="I6" s="4">
        <f>'Base de données indicateurs1'!I14</f>
        <v>4902188</v>
      </c>
      <c r="J6" s="4">
        <f>'Base de données indicateurs1'!J14</f>
        <v>2114950.44</v>
      </c>
      <c r="K6" s="4">
        <f>'Base de données indicateurs1'!K14</f>
        <v>2918225.13</v>
      </c>
      <c r="L6" s="4">
        <f>'Base de données indicateurs1'!L14</f>
        <v>3641639.15</v>
      </c>
      <c r="M6" s="4">
        <f>'Base de données indicateurs1'!M14</f>
        <v>1078367.83</v>
      </c>
      <c r="N6" s="4">
        <f>'Base de données indicateurs1'!N14</f>
        <v>545419.93000000005</v>
      </c>
      <c r="O6" s="4">
        <f>'Base de données indicateurs1'!O14</f>
        <v>328580.07</v>
      </c>
      <c r="P6" s="4">
        <f>'Base de données indicateurs1'!P14</f>
        <v>870195.9</v>
      </c>
      <c r="Q6" s="4">
        <f>'Base de données indicateurs1'!Q14</f>
        <v>55492.12</v>
      </c>
      <c r="R6" s="4">
        <f>'Base de données indicateurs1'!R14</f>
        <v>251856.94</v>
      </c>
      <c r="S6" s="4">
        <f>'Base de données indicateurs1'!S14</f>
        <v>-235158.55</v>
      </c>
      <c r="T6" s="4">
        <f>'Base de données indicateurs1'!T14</f>
        <v>969710.25</v>
      </c>
      <c r="U6" s="4">
        <f>'Base de données indicateurs1'!U14</f>
        <v>369776.03</v>
      </c>
      <c r="V6" s="4">
        <f>'Base de données indicateurs1'!V14</f>
        <v>230388.43</v>
      </c>
      <c r="W6" s="4">
        <f>'Base de données indicateurs1'!W14</f>
        <v>1701670.13</v>
      </c>
      <c r="X6" s="4">
        <f>'Base de données indicateurs1'!X14</f>
        <v>2382632</v>
      </c>
      <c r="Y6" s="4">
        <f>'Base de données indicateurs1'!Y14</f>
        <v>3013602.85</v>
      </c>
      <c r="Z6" s="4">
        <f>'Base de données indicateurs1'!Z14</f>
        <v>11642204.380000001</v>
      </c>
      <c r="AA6" s="4">
        <f>'Base de données indicateurs1'!AA14</f>
        <v>359527.63</v>
      </c>
      <c r="AB6" s="4">
        <f>'Base de données indicateurs1'!AB14</f>
        <v>1093652.3799999999</v>
      </c>
      <c r="AC6" s="4">
        <f>'Base de données indicateurs1'!AC14</f>
        <v>819609.84</v>
      </c>
      <c r="AD6" s="4">
        <f>'Base de données indicateurs1'!AD14</f>
        <v>715356.11</v>
      </c>
      <c r="AE6" s="4">
        <f>'Base de données indicateurs1'!AE14</f>
        <v>1176011.99</v>
      </c>
      <c r="AF6" s="4">
        <f>'Base de données indicateurs1'!AF14</f>
        <v>4624157.3</v>
      </c>
      <c r="AG6" s="4">
        <f>'Base de données indicateurs1'!AG14</f>
        <v>3981805.73</v>
      </c>
      <c r="AH6" s="4">
        <f>'Base de données indicateurs1'!AH14</f>
        <v>1901857.74</v>
      </c>
      <c r="AI6" s="4">
        <f>'Base de données indicateurs1'!AI14</f>
        <v>1126620.6000000001</v>
      </c>
      <c r="AJ6" s="4">
        <f>'Base de données indicateurs1'!AJ14</f>
        <v>1358453.23</v>
      </c>
      <c r="AK6" s="4">
        <f>'Base de données indicateurs1'!AK14</f>
        <v>745205.46</v>
      </c>
      <c r="AL6" s="4">
        <f>'Base de données indicateurs1'!AL14</f>
        <v>3388985.41</v>
      </c>
      <c r="AM6" s="4">
        <f>'Base de données indicateurs1'!AM14</f>
        <v>2634789.11</v>
      </c>
      <c r="AN6" s="4">
        <f>'Base de données indicateurs1'!AN14</f>
        <v>513721.09</v>
      </c>
      <c r="AO6" s="4">
        <f>'Base de données indicateurs1'!AO14</f>
        <v>6934776.4000000004</v>
      </c>
      <c r="AP6" s="4">
        <f>'Base de données indicateurs1'!AP14</f>
        <v>1859200.25</v>
      </c>
      <c r="AQ6" s="4">
        <f>'Base de données indicateurs1'!AQ14</f>
        <v>1247136</v>
      </c>
      <c r="AR6" s="4">
        <f>'Base de données indicateurs1'!AR14</f>
        <v>7568228.8700000001</v>
      </c>
      <c r="AS6" s="4">
        <f>'Base de données indicateurs1'!AS14</f>
        <v>361872.32</v>
      </c>
      <c r="AT6" s="4">
        <f>'Base de données indicateurs1'!AT14</f>
        <v>537738.39</v>
      </c>
      <c r="AU6" s="4">
        <f>'Base de données indicateurs1'!AU14</f>
        <v>2993715.14</v>
      </c>
      <c r="AV6" s="4">
        <f>'Base de données indicateurs1'!AV14</f>
        <v>4999580.3</v>
      </c>
      <c r="AW6" s="4">
        <f>'Base de données indicateurs1'!AW14</f>
        <v>576147.78</v>
      </c>
      <c r="AX6" s="4">
        <f>'Base de données indicateurs1'!AX14</f>
        <v>168122</v>
      </c>
      <c r="AY6" s="4">
        <f>'Base de données indicateurs1'!AY14</f>
        <v>592723.38</v>
      </c>
      <c r="AZ6" s="4">
        <f>'Base de données indicateurs1'!AZ14</f>
        <v>2121290.9</v>
      </c>
      <c r="BA6" s="4">
        <f>'Base de données indicateurs1'!BA14</f>
        <v>1474378.81</v>
      </c>
      <c r="BB6" s="4">
        <f>'Base de données indicateurs1'!BB14</f>
        <v>2353345.9300000002</v>
      </c>
      <c r="BC6" s="4">
        <f>'Base de données indicateurs1'!BC14</f>
        <v>772481.9</v>
      </c>
      <c r="BD6" s="4">
        <f>'Base de données indicateurs1'!BD14</f>
        <v>1169070.55</v>
      </c>
      <c r="BE6" s="4">
        <f>'Base de données indicateurs1'!BE14</f>
        <v>685302.43</v>
      </c>
      <c r="BF6" s="4">
        <f>SUM(E6:W6)</f>
        <v>22972508.390000001</v>
      </c>
      <c r="BG6" s="4">
        <f>SUM(X6:AJ6)</f>
        <v>34195491.779999994</v>
      </c>
      <c r="BH6" s="4">
        <f>SUM(AK6:BE6)</f>
        <v>43697812.420000002</v>
      </c>
      <c r="BJ6" s="4"/>
    </row>
    <row r="7" spans="1:62" ht="15.75" thickBot="1" x14ac:dyDescent="0.3">
      <c r="A7" s="117"/>
      <c r="B7" s="118"/>
      <c r="C7" s="117"/>
      <c r="D7" s="119"/>
      <c r="BF7" s="4"/>
      <c r="BG7" s="4"/>
      <c r="BH7" s="4"/>
      <c r="BJ7" s="4"/>
    </row>
    <row r="8" spans="1:62" ht="15.75" thickBot="1" x14ac:dyDescent="0.3">
      <c r="A8" s="7" t="s">
        <v>563</v>
      </c>
      <c r="B8" s="64"/>
      <c r="C8" s="7"/>
      <c r="D8" s="120">
        <f>D6</f>
        <v>100865812.59000003</v>
      </c>
      <c r="E8" s="4">
        <f>E6</f>
        <v>2069048.43</v>
      </c>
      <c r="F8" s="4">
        <f t="shared" ref="F8:BE8" si="0">F6</f>
        <v>127490.92</v>
      </c>
      <c r="G8" s="4">
        <f t="shared" si="0"/>
        <v>-139643.88</v>
      </c>
      <c r="H8" s="4">
        <f t="shared" si="0"/>
        <v>1172311.1200000001</v>
      </c>
      <c r="I8" s="4">
        <f t="shared" si="0"/>
        <v>4902188</v>
      </c>
      <c r="J8" s="4">
        <f t="shared" si="0"/>
        <v>2114950.44</v>
      </c>
      <c r="K8" s="4">
        <f t="shared" si="0"/>
        <v>2918225.13</v>
      </c>
      <c r="L8" s="4">
        <f t="shared" si="0"/>
        <v>3641639.15</v>
      </c>
      <c r="M8" s="4">
        <f t="shared" si="0"/>
        <v>1078367.83</v>
      </c>
      <c r="N8" s="4">
        <f t="shared" si="0"/>
        <v>545419.93000000005</v>
      </c>
      <c r="O8" s="4">
        <f t="shared" si="0"/>
        <v>328580.07</v>
      </c>
      <c r="P8" s="4">
        <f t="shared" si="0"/>
        <v>870195.9</v>
      </c>
      <c r="Q8" s="4">
        <f t="shared" si="0"/>
        <v>55492.12</v>
      </c>
      <c r="R8" s="4">
        <f t="shared" si="0"/>
        <v>251856.94</v>
      </c>
      <c r="S8" s="4">
        <f t="shared" si="0"/>
        <v>-235158.55</v>
      </c>
      <c r="T8" s="4">
        <f t="shared" si="0"/>
        <v>969710.25</v>
      </c>
      <c r="U8" s="4">
        <f t="shared" si="0"/>
        <v>369776.03</v>
      </c>
      <c r="V8" s="4">
        <f t="shared" si="0"/>
        <v>230388.43</v>
      </c>
      <c r="W8" s="4">
        <f t="shared" si="0"/>
        <v>1701670.13</v>
      </c>
      <c r="X8" s="4">
        <f t="shared" si="0"/>
        <v>2382632</v>
      </c>
      <c r="Y8" s="4">
        <f t="shared" si="0"/>
        <v>3013602.85</v>
      </c>
      <c r="Z8" s="4">
        <f t="shared" si="0"/>
        <v>11642204.380000001</v>
      </c>
      <c r="AA8" s="4">
        <f t="shared" si="0"/>
        <v>359527.63</v>
      </c>
      <c r="AB8" s="4">
        <f t="shared" si="0"/>
        <v>1093652.3799999999</v>
      </c>
      <c r="AC8" s="4">
        <f t="shared" si="0"/>
        <v>819609.84</v>
      </c>
      <c r="AD8" s="4">
        <f t="shared" si="0"/>
        <v>715356.11</v>
      </c>
      <c r="AE8" s="4">
        <f t="shared" si="0"/>
        <v>1176011.99</v>
      </c>
      <c r="AF8" s="4">
        <f t="shared" si="0"/>
        <v>4624157.3</v>
      </c>
      <c r="AG8" s="4">
        <f t="shared" si="0"/>
        <v>3981805.73</v>
      </c>
      <c r="AH8" s="4">
        <f t="shared" si="0"/>
        <v>1901857.74</v>
      </c>
      <c r="AI8" s="4">
        <f t="shared" si="0"/>
        <v>1126620.6000000001</v>
      </c>
      <c r="AJ8" s="4">
        <f t="shared" si="0"/>
        <v>1358453.23</v>
      </c>
      <c r="AK8" s="4">
        <f t="shared" si="0"/>
        <v>745205.46</v>
      </c>
      <c r="AL8" s="4">
        <f t="shared" si="0"/>
        <v>3388985.41</v>
      </c>
      <c r="AM8" s="4">
        <f t="shared" si="0"/>
        <v>2634789.11</v>
      </c>
      <c r="AN8" s="4">
        <f t="shared" si="0"/>
        <v>513721.09</v>
      </c>
      <c r="AO8" s="4">
        <f t="shared" si="0"/>
        <v>6934776.4000000004</v>
      </c>
      <c r="AP8" s="4">
        <f t="shared" si="0"/>
        <v>1859200.25</v>
      </c>
      <c r="AQ8" s="4">
        <f t="shared" si="0"/>
        <v>1247136</v>
      </c>
      <c r="AR8" s="4">
        <f t="shared" si="0"/>
        <v>7568228.8700000001</v>
      </c>
      <c r="AS8" s="4">
        <f t="shared" si="0"/>
        <v>361872.32</v>
      </c>
      <c r="AT8" s="4">
        <f t="shared" si="0"/>
        <v>537738.39</v>
      </c>
      <c r="AU8" s="4">
        <f t="shared" si="0"/>
        <v>2993715.14</v>
      </c>
      <c r="AV8" s="4">
        <f t="shared" si="0"/>
        <v>4999580.3</v>
      </c>
      <c r="AW8" s="4">
        <f t="shared" si="0"/>
        <v>576147.78</v>
      </c>
      <c r="AX8" s="4">
        <f t="shared" si="0"/>
        <v>168122</v>
      </c>
      <c r="AY8" s="4">
        <f t="shared" si="0"/>
        <v>592723.38</v>
      </c>
      <c r="AZ8" s="4">
        <f t="shared" si="0"/>
        <v>2121290.9</v>
      </c>
      <c r="BA8" s="4">
        <f t="shared" si="0"/>
        <v>1474378.81</v>
      </c>
      <c r="BB8" s="4">
        <f t="shared" si="0"/>
        <v>2353345.9300000002</v>
      </c>
      <c r="BC8" s="4">
        <f t="shared" si="0"/>
        <v>772481.9</v>
      </c>
      <c r="BD8" s="4">
        <f t="shared" si="0"/>
        <v>1169070.55</v>
      </c>
      <c r="BE8" s="4">
        <f t="shared" si="0"/>
        <v>685302.43</v>
      </c>
      <c r="BF8" s="4">
        <f t="shared" ref="BF8:BF10" si="1">SUM(E8:W8)</f>
        <v>22972508.390000001</v>
      </c>
      <c r="BG8" s="4">
        <f t="shared" ref="BG8:BG10" si="2">SUM(X8:AJ8)</f>
        <v>34195491.779999994</v>
      </c>
      <c r="BH8" s="4">
        <f t="shared" ref="BH8:BH10" si="3">SUM(AK8:BE8)</f>
        <v>43697812.420000002</v>
      </c>
      <c r="BJ8" s="4"/>
    </row>
    <row r="9" spans="1:62" ht="15.75" thickBot="1" x14ac:dyDescent="0.3">
      <c r="B9" s="121"/>
      <c r="D9" s="4"/>
      <c r="BF9" s="4"/>
      <c r="BG9" s="4"/>
      <c r="BH9" s="4"/>
      <c r="BJ9" s="4"/>
    </row>
    <row r="10" spans="1:62" ht="15.75" thickBot="1" x14ac:dyDescent="0.3">
      <c r="A10" s="7" t="s">
        <v>503</v>
      </c>
      <c r="B10" s="121"/>
      <c r="D10" s="120">
        <f>'Endett. net + degré d''auto.'!D22</f>
        <v>200452497.18000004</v>
      </c>
      <c r="E10" s="4">
        <f>'Endett. net + degré d''auto.'!E22</f>
        <v>2189303.0499999998</v>
      </c>
      <c r="F10" s="4">
        <f>'Endett. net + degré d''auto.'!F22</f>
        <v>610136.36</v>
      </c>
      <c r="G10" s="4">
        <f>'Endett. net + degré d''auto.'!G22</f>
        <v>1040314.23</v>
      </c>
      <c r="H10" s="4">
        <f>'Endett. net + degré d''auto.'!H22</f>
        <v>1029374.9800000001</v>
      </c>
      <c r="I10" s="4">
        <f>'Endett. net + degré d''auto.'!I22</f>
        <v>9291327</v>
      </c>
      <c r="J10" s="4">
        <f>'Endett. net + degré d''auto.'!J22</f>
        <v>8165639.3100000005</v>
      </c>
      <c r="K10" s="4">
        <f>'Endett. net + degré d''auto.'!K22</f>
        <v>6395226.0199999996</v>
      </c>
      <c r="L10" s="4">
        <f>'Endett. net + degré d''auto.'!L22</f>
        <v>36068022.380000003</v>
      </c>
      <c r="M10" s="4">
        <f>'Endett. net + degré d''auto.'!M22</f>
        <v>3247663.14</v>
      </c>
      <c r="N10" s="4">
        <f>'Endett. net + degré d''auto.'!N22</f>
        <v>298310.25</v>
      </c>
      <c r="O10" s="4">
        <f>'Endett. net + degré d''auto.'!O22</f>
        <v>17762847.550000001</v>
      </c>
      <c r="P10" s="4">
        <f>'Endett. net + degré d''auto.'!P22</f>
        <v>1254894.6000000001</v>
      </c>
      <c r="Q10" s="4">
        <f>'Endett. net + degré d''auto.'!Q22</f>
        <v>246461.07</v>
      </c>
      <c r="R10" s="4">
        <f>'Endett. net + degré d''auto.'!R22</f>
        <v>1100218.17</v>
      </c>
      <c r="S10" s="4">
        <f>'Endett. net + degré d''auto.'!S22</f>
        <v>905850.08000000007</v>
      </c>
      <c r="T10" s="4">
        <f>'Endett. net + degré d''auto.'!T22</f>
        <v>1865532.07</v>
      </c>
      <c r="U10" s="4">
        <f>'Endett. net + degré d''auto.'!U22</f>
        <v>581570.65</v>
      </c>
      <c r="V10" s="4">
        <f>'Endett. net + degré d''auto.'!V22</f>
        <v>1056354.0999999999</v>
      </c>
      <c r="W10" s="4">
        <f>'Endett. net + degré d''auto.'!W22</f>
        <v>8591757</v>
      </c>
      <c r="X10" s="4">
        <f>'Endett. net + degré d''auto.'!X22</f>
        <v>740985.22</v>
      </c>
      <c r="Y10" s="4">
        <f>'Endett. net + degré d''auto.'!Y22</f>
        <v>5198106.78</v>
      </c>
      <c r="Z10" s="4">
        <f>'Endett. net + degré d''auto.'!Z22</f>
        <v>4168240.76</v>
      </c>
      <c r="AA10" s="4">
        <f>'Endett. net + degré d''auto.'!AA22</f>
        <v>293067.2</v>
      </c>
      <c r="AB10" s="4">
        <f>'Endett. net + degré d''auto.'!AB22</f>
        <v>341401.15</v>
      </c>
      <c r="AC10" s="4">
        <f>'Endett. net + degré d''auto.'!AC22</f>
        <v>1244121.76</v>
      </c>
      <c r="AD10" s="4">
        <f>'Endett. net + degré d''auto.'!AD22</f>
        <v>1790769.06</v>
      </c>
      <c r="AE10" s="4">
        <f>'Endett. net + degré d''auto.'!AE22</f>
        <v>1325986.49</v>
      </c>
      <c r="AF10" s="4">
        <f>'Endett. net + degré d''auto.'!AF22</f>
        <v>1242880.27</v>
      </c>
      <c r="AG10" s="4">
        <f>'Endett. net + degré d''auto.'!AG22</f>
        <v>5983844.1299999999</v>
      </c>
      <c r="AH10" s="4">
        <f>'Endett. net + degré d''auto.'!AH22</f>
        <v>7226944.0300000003</v>
      </c>
      <c r="AI10" s="4">
        <f>'Endett. net + degré d''auto.'!AI22</f>
        <v>589642.55000000005</v>
      </c>
      <c r="AJ10" s="4">
        <f>'Endett. net + degré d''auto.'!AJ22</f>
        <v>302295.84999999998</v>
      </c>
      <c r="AK10" s="4">
        <f>'Endett. net + degré d''auto.'!AK22</f>
        <v>5452789.1000000006</v>
      </c>
      <c r="AL10" s="4">
        <f>'Endett. net + degré d''auto.'!AL22</f>
        <v>2145311</v>
      </c>
      <c r="AM10" s="4">
        <f>'Endett. net + degré d''auto.'!AM22</f>
        <v>3295917.04</v>
      </c>
      <c r="AN10" s="4">
        <f>'Endett. net + degré d''auto.'!AN22</f>
        <v>341618.96</v>
      </c>
      <c r="AO10" s="4">
        <f>'Endett. net + degré d''auto.'!AO22</f>
        <v>6983350.1500000004</v>
      </c>
      <c r="AP10" s="4">
        <f>'Endett. net + degré d''auto.'!AP22</f>
        <v>1649131.02</v>
      </c>
      <c r="AQ10" s="4">
        <f>'Endett. net + degré d''auto.'!AQ22</f>
        <v>1531960</v>
      </c>
      <c r="AR10" s="4">
        <f>'Endett. net + degré d''auto.'!AR22</f>
        <v>3220725.05</v>
      </c>
      <c r="AS10" s="4">
        <f>'Endett. net + degré d''auto.'!AS22</f>
        <v>2203666.16</v>
      </c>
      <c r="AT10" s="4">
        <f>'Endett. net + degré d''auto.'!AT22</f>
        <v>2504899</v>
      </c>
      <c r="AU10" s="4">
        <f>'Endett. net + degré d''auto.'!AU22</f>
        <v>145690.48000000001</v>
      </c>
      <c r="AV10" s="4">
        <f>'Endett. net + degré d''auto.'!AV22</f>
        <v>5895265.6999999993</v>
      </c>
      <c r="AW10" s="4">
        <f>'Endett. net + degré d''auto.'!AW22</f>
        <v>2191442.75</v>
      </c>
      <c r="AX10" s="4">
        <f>'Endett. net + degré d''auto.'!AX22</f>
        <v>380880.77</v>
      </c>
      <c r="AY10" s="4">
        <f>'Endett. net + degré d''auto.'!AY22</f>
        <v>869565.15</v>
      </c>
      <c r="AZ10" s="4">
        <f>'Endett. net + degré d''auto.'!AZ22</f>
        <v>5025160.41</v>
      </c>
      <c r="BA10" s="4">
        <f>'Endett. net + degré d''auto.'!BA22</f>
        <v>795196.5</v>
      </c>
      <c r="BB10" s="4">
        <f>'Endett. net + degré d''auto.'!BB22</f>
        <v>2972819.77</v>
      </c>
      <c r="BC10" s="4">
        <f>'Endett. net + degré d''auto.'!BC22</f>
        <v>483934.76</v>
      </c>
      <c r="BD10" s="4">
        <f>'Endett. net + degré d''auto.'!BD22</f>
        <v>18951080.050000001</v>
      </c>
      <c r="BE10" s="4">
        <f>'Endett. net + degré d''auto.'!BE22</f>
        <v>1263006.1000000001</v>
      </c>
      <c r="BF10" s="4">
        <f t="shared" si="1"/>
        <v>101700802.00999998</v>
      </c>
      <c r="BG10" s="4">
        <f t="shared" si="2"/>
        <v>30448285.250000004</v>
      </c>
      <c r="BH10" s="4">
        <f t="shared" si="3"/>
        <v>68303409.919999987</v>
      </c>
      <c r="BJ10" s="4"/>
    </row>
    <row r="11" spans="1:62" ht="15.75" thickBot="1" x14ac:dyDescent="0.3">
      <c r="A11" s="123"/>
      <c r="B11" s="121"/>
      <c r="D11" s="4"/>
      <c r="BF11" s="4"/>
      <c r="BG11" s="4"/>
      <c r="BH11" s="4"/>
    </row>
    <row r="12" spans="1:62" ht="15.75" thickBot="1" x14ac:dyDescent="0.3">
      <c r="A12" s="7" t="s">
        <v>564</v>
      </c>
      <c r="B12" s="121"/>
      <c r="D12" s="120">
        <f>IF(D10&lt;&gt;0,D8/D10,"")*100</f>
        <v>50.319060130952472</v>
      </c>
      <c r="E12" s="144">
        <f>IF(E10&lt;&gt;0,E8/E10,"")*100</f>
        <v>94.507173413018364</v>
      </c>
      <c r="F12" s="129">
        <f t="shared" ref="F12:BH12" si="4">IF(F10&lt;&gt;0,F8/F10,"")*100</f>
        <v>20.895479823559445</v>
      </c>
      <c r="G12" s="129">
        <f t="shared" si="4"/>
        <v>-13.423240399201308</v>
      </c>
      <c r="H12" s="129">
        <f t="shared" si="4"/>
        <v>113.88572121696605</v>
      </c>
      <c r="I12" s="129">
        <f t="shared" si="4"/>
        <v>52.760902721430426</v>
      </c>
      <c r="J12" s="129">
        <f t="shared" si="4"/>
        <v>25.900610591628002</v>
      </c>
      <c r="K12" s="129">
        <f t="shared" si="4"/>
        <v>45.631305615684866</v>
      </c>
      <c r="L12" s="129">
        <f t="shared" si="4"/>
        <v>10.09658669841382</v>
      </c>
      <c r="M12" s="129">
        <f t="shared" si="4"/>
        <v>33.204423719881241</v>
      </c>
      <c r="N12" s="129">
        <f t="shared" si="4"/>
        <v>182.83646974919569</v>
      </c>
      <c r="O12" s="129">
        <f t="shared" si="4"/>
        <v>1.8498164163999706</v>
      </c>
      <c r="P12" s="129">
        <f t="shared" si="4"/>
        <v>69.344142527986008</v>
      </c>
      <c r="Q12" s="129">
        <f t="shared" si="4"/>
        <v>22.515572134779745</v>
      </c>
      <c r="R12" s="129">
        <f t="shared" si="4"/>
        <v>22.891545228706779</v>
      </c>
      <c r="S12" s="129">
        <f t="shared" si="4"/>
        <v>-25.959985564057131</v>
      </c>
      <c r="T12" s="129">
        <f t="shared" si="4"/>
        <v>51.980358075538206</v>
      </c>
      <c r="U12" s="129">
        <f t="shared" si="4"/>
        <v>63.582305950274488</v>
      </c>
      <c r="V12" s="129">
        <f t="shared" si="4"/>
        <v>21.809772878242249</v>
      </c>
      <c r="W12" s="129">
        <f t="shared" si="4"/>
        <v>19.8058456494987</v>
      </c>
      <c r="X12" s="129">
        <f t="shared" si="4"/>
        <v>321.54919365328232</v>
      </c>
      <c r="Y12" s="129">
        <f t="shared" si="4"/>
        <v>57.975008547246496</v>
      </c>
      <c r="Z12" s="129">
        <f t="shared" si="4"/>
        <v>279.30738770473522</v>
      </c>
      <c r="AA12" s="129">
        <f t="shared" si="4"/>
        <v>122.67753948582441</v>
      </c>
      <c r="AB12" s="129">
        <f t="shared" si="4"/>
        <v>320.34232456451883</v>
      </c>
      <c r="AC12" s="129">
        <f t="shared" si="4"/>
        <v>65.878587317691469</v>
      </c>
      <c r="AD12" s="129">
        <f t="shared" si="4"/>
        <v>39.946865622080821</v>
      </c>
      <c r="AE12" s="129">
        <f t="shared" si="4"/>
        <v>88.68959064582927</v>
      </c>
      <c r="AF12" s="129">
        <f t="shared" si="4"/>
        <v>372.0517101780045</v>
      </c>
      <c r="AG12" s="129">
        <f t="shared" si="4"/>
        <v>66.542604444477732</v>
      </c>
      <c r="AH12" s="129">
        <f t="shared" si="4"/>
        <v>26.316209619240677</v>
      </c>
      <c r="AI12" s="129">
        <f t="shared" si="4"/>
        <v>191.06840237360754</v>
      </c>
      <c r="AJ12" s="129">
        <f t="shared" si="4"/>
        <v>449.37872286371123</v>
      </c>
      <c r="AK12" s="129">
        <f t="shared" si="4"/>
        <v>13.666500690444819</v>
      </c>
      <c r="AL12" s="129">
        <f t="shared" si="4"/>
        <v>157.97175374572731</v>
      </c>
      <c r="AM12" s="129">
        <f t="shared" si="4"/>
        <v>79.94100209512554</v>
      </c>
      <c r="AN12" s="129">
        <f t="shared" si="4"/>
        <v>150.37838941960365</v>
      </c>
      <c r="AO12" s="129">
        <f t="shared" si="4"/>
        <v>99.304434849224904</v>
      </c>
      <c r="AP12" s="129">
        <f t="shared" si="4"/>
        <v>112.73817710372096</v>
      </c>
      <c r="AQ12" s="129">
        <f t="shared" si="4"/>
        <v>81.407869657171204</v>
      </c>
      <c r="AR12" s="129">
        <f t="shared" si="4"/>
        <v>234.98525184569857</v>
      </c>
      <c r="AS12" s="129">
        <f t="shared" si="4"/>
        <v>16.421376639009601</v>
      </c>
      <c r="AT12" s="129">
        <f t="shared" si="4"/>
        <v>21.46746794980556</v>
      </c>
      <c r="AU12" s="129">
        <f t="shared" si="4"/>
        <v>2054.8460956405661</v>
      </c>
      <c r="AV12" s="129">
        <f t="shared" si="4"/>
        <v>84.806700061033723</v>
      </c>
      <c r="AW12" s="129">
        <f t="shared" si="4"/>
        <v>26.290797694806312</v>
      </c>
      <c r="AX12" s="129">
        <f t="shared" si="4"/>
        <v>44.140322442637363</v>
      </c>
      <c r="AY12" s="129">
        <f t="shared" si="4"/>
        <v>68.163193982647527</v>
      </c>
      <c r="AZ12" s="129">
        <f t="shared" si="4"/>
        <v>42.213396726175354</v>
      </c>
      <c r="BA12" s="129">
        <f t="shared" si="4"/>
        <v>185.4106261785609</v>
      </c>
      <c r="BB12" s="129">
        <f t="shared" si="4"/>
        <v>79.162078836686433</v>
      </c>
      <c r="BC12" s="129">
        <f t="shared" si="4"/>
        <v>159.6252147706852</v>
      </c>
      <c r="BD12" s="129">
        <f t="shared" si="4"/>
        <v>6.1688861369143968</v>
      </c>
      <c r="BE12" s="129">
        <f t="shared" si="4"/>
        <v>54.259629466556028</v>
      </c>
      <c r="BF12" s="129">
        <f t="shared" si="4"/>
        <v>22.588325692595003</v>
      </c>
      <c r="BG12" s="129">
        <f t="shared" si="4"/>
        <v>112.30679001865956</v>
      </c>
      <c r="BH12" s="129">
        <f t="shared" si="4"/>
        <v>63.97603351162239</v>
      </c>
    </row>
    <row r="13" spans="1:62" x14ac:dyDescent="0.25">
      <c r="A13" s="123" t="s">
        <v>565</v>
      </c>
      <c r="B13" s="121"/>
    </row>
    <row r="14" spans="1:62" x14ac:dyDescent="0.25">
      <c r="A14" s="123"/>
      <c r="B14" s="121"/>
    </row>
  </sheetData>
  <mergeCells count="1">
    <mergeCell ref="A2:D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activeCell="BG16" sqref="BG16"/>
      <selection pane="topRight" activeCell="BG16" sqref="BG16"/>
      <selection pane="bottomLeft" activeCell="BG16" sqref="BG16"/>
      <selection pane="bottomRight" activeCell="BG16" sqref="BG1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7" t="s">
        <v>494</v>
      </c>
      <c r="B8" s="227"/>
      <c r="C8" s="227"/>
      <c r="D8" s="227"/>
    </row>
    <row r="9" spans="1:60" ht="15.75" thickBot="1" x14ac:dyDescent="0.3"/>
    <row r="10" spans="1:60" ht="15.75" thickBot="1" x14ac:dyDescent="0.3">
      <c r="A10" s="228" t="s">
        <v>566</v>
      </c>
      <c r="B10" s="229"/>
      <c r="C10" s="229"/>
      <c r="D10" s="230"/>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142.75155549349287</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7834053.4500000002</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19218930.990000002</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64.522567788181405</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-443.91488383231615</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2159.1560878483278</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8.0038165856233814</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169.47471241744174</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bilan'!D12</f>
        <v>50.319060130952472</v>
      </c>
      <c r="E43" s="4">
        <f>'Quotient excédent du bilan'!E12</f>
        <v>94.507173413018364</v>
      </c>
      <c r="F43" s="4">
        <f>'Quotient excédent du bilan'!F12</f>
        <v>20.895479823559445</v>
      </c>
      <c r="G43" s="4">
        <f>'Quotient excédent du bilan'!G12</f>
        <v>-13.423240399201308</v>
      </c>
      <c r="H43" s="4">
        <f>'Quotient excédent du bilan'!H12</f>
        <v>113.88572121696605</v>
      </c>
      <c r="I43" s="4">
        <f>'Quotient excédent du bilan'!I12</f>
        <v>52.760902721430426</v>
      </c>
      <c r="J43" s="4">
        <f>'Quotient excédent du bilan'!J12</f>
        <v>25.900610591628002</v>
      </c>
      <c r="K43" s="4">
        <f>'Quotient excédent du bilan'!K12</f>
        <v>45.631305615684866</v>
      </c>
      <c r="L43" s="4">
        <f>'Quotient excédent du bilan'!L12</f>
        <v>10.09658669841382</v>
      </c>
      <c r="M43" s="4">
        <f>'Quotient excédent du bilan'!M12</f>
        <v>33.204423719881241</v>
      </c>
      <c r="N43" s="4">
        <f>'Quotient excédent du bilan'!N12</f>
        <v>182.83646974919569</v>
      </c>
      <c r="O43" s="4">
        <f>'Quotient excédent du bilan'!O12</f>
        <v>1.8498164163999706</v>
      </c>
      <c r="P43" s="4">
        <f>'Quotient excédent du bilan'!P12</f>
        <v>69.344142527986008</v>
      </c>
      <c r="Q43" s="4">
        <f>'Quotient excédent du bilan'!Q12</f>
        <v>22.515572134779745</v>
      </c>
      <c r="R43" s="4">
        <f>'Quotient excédent du bilan'!R12</f>
        <v>22.891545228706779</v>
      </c>
      <c r="S43" s="4">
        <f>'Quotient excédent du bilan'!S12</f>
        <v>-25.959985564057131</v>
      </c>
      <c r="T43" s="4">
        <f>'Quotient excédent du bilan'!T12</f>
        <v>51.980358075538206</v>
      </c>
      <c r="U43" s="4">
        <f>'Quotient excédent du bilan'!U12</f>
        <v>63.582305950274488</v>
      </c>
      <c r="V43" s="4">
        <f>'Quotient excédent du bilan'!V12</f>
        <v>21.809772878242249</v>
      </c>
      <c r="W43" s="4">
        <f>'Quotient excédent du bilan'!W12</f>
        <v>19.8058456494987</v>
      </c>
      <c r="X43" s="4">
        <f>'Quotient excédent du bilan'!X12</f>
        <v>321.54919365328232</v>
      </c>
      <c r="Y43" s="4">
        <f>'Quotient excédent du bilan'!Y12</f>
        <v>57.975008547246496</v>
      </c>
      <c r="Z43" s="4">
        <f>'Quotient excédent du bilan'!Z12</f>
        <v>279.30738770473522</v>
      </c>
      <c r="AA43" s="4">
        <f>'Quotient excédent du bilan'!AA12</f>
        <v>122.67753948582441</v>
      </c>
      <c r="AB43" s="4">
        <f>'Quotient excédent du bilan'!AB12</f>
        <v>320.34232456451883</v>
      </c>
      <c r="AC43" s="4">
        <f>'Quotient excédent du bilan'!AC12</f>
        <v>65.878587317691469</v>
      </c>
      <c r="AD43" s="4">
        <f>'Quotient excédent du bilan'!AD12</f>
        <v>39.946865622080821</v>
      </c>
      <c r="AE43" s="4">
        <f>'Quotient excédent du bilan'!AE12</f>
        <v>88.68959064582927</v>
      </c>
      <c r="AF43" s="4">
        <f>'Quotient excédent du bilan'!AF12</f>
        <v>372.0517101780045</v>
      </c>
      <c r="AG43" s="4">
        <f>'Quotient excédent du bilan'!AG12</f>
        <v>66.542604444477732</v>
      </c>
      <c r="AH43" s="4">
        <f>'Quotient excédent du bilan'!AH12</f>
        <v>26.316209619240677</v>
      </c>
      <c r="AI43" s="4">
        <f>'Quotient excédent du bilan'!AI12</f>
        <v>191.06840237360754</v>
      </c>
      <c r="AJ43" s="4">
        <f>'Quotient excédent du bilan'!AJ12</f>
        <v>449.37872286371123</v>
      </c>
      <c r="AK43" s="4">
        <f>'Quotient excédent du bilan'!AK12</f>
        <v>13.666500690444819</v>
      </c>
      <c r="AL43" s="4">
        <f>'Quotient excédent du bilan'!AL12</f>
        <v>157.97175374572731</v>
      </c>
      <c r="AM43" s="4">
        <f>'Quotient excédent du bilan'!AM12</f>
        <v>79.94100209512554</v>
      </c>
      <c r="AN43" s="4">
        <f>'Quotient excédent du bilan'!AN12</f>
        <v>150.37838941960365</v>
      </c>
      <c r="AO43" s="4">
        <f>'Quotient excédent du bilan'!AO12</f>
        <v>99.304434849224904</v>
      </c>
      <c r="AP43" s="4">
        <f>'Quotient excédent du bilan'!AP12</f>
        <v>112.73817710372096</v>
      </c>
      <c r="AQ43" s="4">
        <f>'Quotient excédent du bilan'!AQ12</f>
        <v>81.407869657171204</v>
      </c>
      <c r="AR43" s="4">
        <f>'Quotient excédent du bilan'!AR12</f>
        <v>234.98525184569857</v>
      </c>
      <c r="AS43" s="4">
        <f>'Quotient excédent du bilan'!AS12</f>
        <v>16.421376639009601</v>
      </c>
      <c r="AT43" s="4">
        <f>'Quotient excédent du bilan'!AT12</f>
        <v>21.46746794980556</v>
      </c>
      <c r="AU43" s="4">
        <f>'Quotient excédent du bilan'!AU12</f>
        <v>2054.8460956405661</v>
      </c>
      <c r="AV43" s="4">
        <f>'Quotient excédent du bilan'!AV12</f>
        <v>84.806700061033723</v>
      </c>
      <c r="AW43" s="4">
        <f>'Quotient excédent du bilan'!AW12</f>
        <v>26.290797694806312</v>
      </c>
      <c r="AX43" s="4">
        <f>'Quotient excédent du bilan'!AX12</f>
        <v>44.140322442637363</v>
      </c>
      <c r="AY43" s="4">
        <f>'Quotient excédent du bilan'!AY12</f>
        <v>68.163193982647527</v>
      </c>
      <c r="AZ43" s="4">
        <f>'Quotient excédent du bilan'!AZ12</f>
        <v>42.213396726175354</v>
      </c>
      <c r="BA43" s="4">
        <f>'Quotient excédent du bilan'!BA12</f>
        <v>185.4106261785609</v>
      </c>
      <c r="BB43" s="4">
        <f>'Quotient excédent du bilan'!BB12</f>
        <v>79.162078836686433</v>
      </c>
      <c r="BC43" s="4">
        <f>'Quotient excédent du bilan'!BC12</f>
        <v>159.6252147706852</v>
      </c>
      <c r="BD43" s="4">
        <f>'Quotient excédent du bilan'!BD12</f>
        <v>6.1688861369143968</v>
      </c>
      <c r="BE43" s="4">
        <f>'Quotient excédent du bilan'!BE12</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G16" sqref="BG16"/>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7"/>
      <c r="B1" s="227"/>
      <c r="C1" s="227"/>
      <c r="D1" s="227"/>
    </row>
    <row r="2" spans="1:8" ht="18.75" x14ac:dyDescent="0.3">
      <c r="A2" s="234" t="s">
        <v>855</v>
      </c>
      <c r="B2" s="234"/>
      <c r="C2" s="234"/>
      <c r="D2" s="234"/>
      <c r="E2" s="227"/>
      <c r="F2" s="227"/>
      <c r="G2" s="227"/>
      <c r="H2" s="227"/>
    </row>
    <row r="3" spans="1:8" ht="18.75" x14ac:dyDescent="0.3">
      <c r="A3" s="155"/>
      <c r="B3" s="155"/>
      <c r="C3" s="155"/>
      <c r="D3" s="155"/>
      <c r="E3" s="155"/>
      <c r="F3" s="155"/>
      <c r="G3" s="155"/>
      <c r="H3" s="155"/>
    </row>
    <row r="4" spans="1:8" ht="15.75" thickBot="1" x14ac:dyDescent="0.3">
      <c r="B4" s="235" t="s">
        <v>797</v>
      </c>
      <c r="C4" s="235"/>
      <c r="D4" s="235"/>
    </row>
    <row r="5" spans="1:8" ht="15.75" thickBot="1" x14ac:dyDescent="0.3">
      <c r="A5" s="156" t="s">
        <v>573</v>
      </c>
      <c r="B5" s="221" t="s">
        <v>56</v>
      </c>
      <c r="C5" s="222"/>
      <c r="D5" s="223"/>
      <c r="F5" s="110"/>
    </row>
    <row r="6" spans="1:8" ht="15.75" thickBot="1" x14ac:dyDescent="0.3">
      <c r="E6" s="7"/>
      <c r="H6" s="117"/>
    </row>
    <row r="7" spans="1:8" ht="15.75" thickBot="1" x14ac:dyDescent="0.3">
      <c r="A7" s="231" t="s">
        <v>566</v>
      </c>
      <c r="B7" s="232"/>
      <c r="C7" s="232"/>
      <c r="D7" s="233"/>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10352456.359999999</v>
      </c>
      <c r="E12" s="7"/>
      <c r="H12" s="132"/>
    </row>
    <row r="13" spans="1:8" ht="15.75" thickBot="1" x14ac:dyDescent="0.3">
      <c r="A13" t="s">
        <v>449</v>
      </c>
      <c r="D13" s="131">
        <f>D12/HLOOKUP(B5,Récapitulatif!E10:BE11,2,0)</f>
        <v>10931.844097148891</v>
      </c>
      <c r="E13" s="7"/>
      <c r="H13" s="132"/>
    </row>
    <row r="14" spans="1:8" ht="15.75" thickBot="1" x14ac:dyDescent="0.3">
      <c r="D14" s="4"/>
      <c r="H14" s="132"/>
    </row>
    <row r="15" spans="1:8" ht="15.75" thickBot="1" x14ac:dyDescent="0.3">
      <c r="A15" s="159" t="s">
        <v>585</v>
      </c>
      <c r="D15" s="131">
        <f>HLOOKUP($B$5,Récapitulatif!E10:BE43,8,0)</f>
        <v>4381758.7100000009</v>
      </c>
      <c r="H15" s="132"/>
    </row>
    <row r="16" spans="1:8" ht="15.75" thickBot="1" x14ac:dyDescent="0.3">
      <c r="A16" t="s">
        <v>449</v>
      </c>
      <c r="D16" s="131">
        <f>D15/HLOOKUP(B5,Récapitulatif!E10:BE11,2,0)</f>
        <v>4626.9891341077091</v>
      </c>
      <c r="H16" s="132"/>
    </row>
    <row r="17" spans="1:8" ht="15.75" thickBot="1" x14ac:dyDescent="0.3">
      <c r="D17" s="4"/>
      <c r="H17" s="132"/>
    </row>
    <row r="18" spans="1:8" ht="15.75" thickBot="1" x14ac:dyDescent="0.3">
      <c r="A18" t="s">
        <v>504</v>
      </c>
      <c r="D18" s="131">
        <f>HLOOKUP($B$5,Récapitulatif!E10:BE43,10,0)</f>
        <v>200.14400062156773</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297260.18999999994</v>
      </c>
      <c r="E22" s="7"/>
      <c r="H22" s="133"/>
    </row>
    <row r="23" spans="1:8" ht="15.75" thickBot="1" x14ac:dyDescent="0.3">
      <c r="D23" s="4"/>
      <c r="H23" s="132"/>
    </row>
    <row r="24" spans="1:8" ht="15.75" thickBot="1" x14ac:dyDescent="0.3">
      <c r="A24" t="s">
        <v>568</v>
      </c>
      <c r="D24" s="131">
        <f>HLOOKUP($B$5,Récapitulatif!E10:BE43,17,0)</f>
        <v>19.851003906483545</v>
      </c>
      <c r="H24" s="132"/>
    </row>
    <row r="25" spans="1:8" ht="15.75" thickBot="1" x14ac:dyDescent="0.3">
      <c r="D25" s="4"/>
    </row>
    <row r="26" spans="1:8" ht="15.75" thickBot="1" x14ac:dyDescent="0.3">
      <c r="A26" s="7" t="s">
        <v>569</v>
      </c>
      <c r="D26" s="131">
        <f>HLOOKUP($B$5,Récapitulatif!E10:BE43,20,0)</f>
        <v>0.8484797919802296</v>
      </c>
    </row>
    <row r="27" spans="1:8" ht="15.75" thickBot="1" x14ac:dyDescent="0.3">
      <c r="D27" s="4"/>
    </row>
    <row r="28" spans="1:8" ht="15.75" thickBot="1" x14ac:dyDescent="0.3">
      <c r="A28" s="7" t="s">
        <v>570</v>
      </c>
      <c r="D28" s="131">
        <f>HLOOKUP($B$5,Récapitulatif!E10:BE43,22,0)</f>
        <v>416.6567853894984</v>
      </c>
    </row>
    <row r="29" spans="1:8" ht="15.75" thickBot="1" x14ac:dyDescent="0.3">
      <c r="D29" s="4"/>
    </row>
    <row r="30" spans="1:8" ht="15.75" thickBot="1" x14ac:dyDescent="0.3">
      <c r="A30" s="7" t="s">
        <v>528</v>
      </c>
      <c r="D30" s="131">
        <f>HLOOKUP($B$5,Récapitulatif!E10:BE43,24,0)</f>
        <v>35.502363925276789</v>
      </c>
    </row>
    <row r="31" spans="1:8" ht="15.75" thickBot="1" x14ac:dyDescent="0.3">
      <c r="B31" s="110"/>
      <c r="D31" s="119"/>
    </row>
    <row r="32" spans="1:8" ht="15.75" thickBot="1" x14ac:dyDescent="0.3">
      <c r="A32" s="7" t="s">
        <v>571</v>
      </c>
      <c r="D32" s="131">
        <f>HLOOKUP($B$5,Récapitulatif!E10:BE43,26,0)</f>
        <v>12.203435862324911</v>
      </c>
    </row>
    <row r="33" spans="1:4" ht="15.75" thickBot="1" x14ac:dyDescent="0.3">
      <c r="D33" s="4"/>
    </row>
    <row r="34" spans="1:4" ht="15.75" thickBot="1" x14ac:dyDescent="0.3">
      <c r="A34" s="7" t="s">
        <v>542</v>
      </c>
      <c r="D34" s="131">
        <f>HLOOKUP($B$5,Récapitulatif!E10:BE43,28,0)</f>
        <v>4626.9891341077091</v>
      </c>
    </row>
    <row r="35" spans="1:4" ht="15.75" thickBot="1" x14ac:dyDescent="0.3">
      <c r="D35" s="132"/>
    </row>
    <row r="36" spans="1:4" ht="15.75" thickBot="1" x14ac:dyDescent="0.3">
      <c r="A36" s="7" t="s">
        <v>546</v>
      </c>
      <c r="D36" s="131">
        <f>HLOOKUP($B$5,Récapitulatif!E10:BE43,30,0)</f>
        <v>11.963873199043508</v>
      </c>
    </row>
    <row r="37" spans="1:4" ht="15.75" thickBot="1" x14ac:dyDescent="0.3">
      <c r="D37" s="132"/>
    </row>
    <row r="38" spans="1:4" ht="15.75" thickBot="1" x14ac:dyDescent="0.3">
      <c r="A38" s="7" t="s">
        <v>550</v>
      </c>
      <c r="D38" s="131">
        <f>HLOOKUP($B$5,Récapitulatif!E10:BE43,32,0)</f>
        <v>-2.4964074522437216</v>
      </c>
    </row>
    <row r="39" spans="1:4" ht="15.75" thickBot="1" x14ac:dyDescent="0.3">
      <c r="D39" s="4"/>
    </row>
    <row r="40" spans="1:4" ht="15.75" thickBot="1" x14ac:dyDescent="0.3">
      <c r="A40" s="7" t="s">
        <v>572</v>
      </c>
      <c r="D40" s="131">
        <f>HLOOKUP($B$5,Récapitulatif!E10:BE43,34,0)</f>
        <v>94.507173413018364</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E4" activePane="bottomRight" state="frozen"/>
      <selection activeCell="BG16" sqref="BG16"/>
      <selection pane="topRight" activeCell="BG16" sqref="BG16"/>
      <selection pane="bottomLeft" activeCell="BG16" sqref="BG16"/>
      <selection pane="bottomRight" activeCell="BG16" sqref="BG16"/>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BE73" activePane="bottomRight" state="frozen"/>
      <selection pane="topRight" activeCell="E1" sqref="E1"/>
      <selection pane="bottomLeft" activeCell="A4" sqref="A4"/>
      <selection pane="bottomRight" activeCell="BF104" sqref="BF10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217">
        <f>BF105/BF75</f>
        <v>3.6569644282611079E-2</v>
      </c>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G16" sqref="BG16"/>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28</v>
      </c>
    </row>
    <row r="7" spans="1:5" x14ac:dyDescent="0.25">
      <c r="E7" s="65" t="s">
        <v>202</v>
      </c>
    </row>
    <row r="8" spans="1:5" ht="21" x14ac:dyDescent="0.35">
      <c r="A8" s="92">
        <v>3</v>
      </c>
      <c r="B8" s="92"/>
      <c r="C8" s="92"/>
      <c r="D8" s="92" t="s">
        <v>60</v>
      </c>
      <c r="E8" s="171">
        <f>HLOOKUP($D$5,'8.1 Bourgeoisies Comptes 2021'!$E$3:$R$165,2,0)</f>
        <v>1673386.83</v>
      </c>
    </row>
    <row r="9" spans="1:5" x14ac:dyDescent="0.25">
      <c r="A9" s="94"/>
      <c r="B9" s="94">
        <v>30</v>
      </c>
      <c r="C9" s="94"/>
      <c r="D9" s="94" t="s">
        <v>61</v>
      </c>
      <c r="E9" s="95">
        <f>HLOOKUP($D$5,'8.1 Bourgeoisies Comptes 2021'!$E$3:$R$165,3,0)</f>
        <v>384564.65</v>
      </c>
    </row>
    <row r="10" spans="1:5" x14ac:dyDescent="0.25">
      <c r="C10">
        <v>300</v>
      </c>
      <c r="D10" t="s">
        <v>80</v>
      </c>
      <c r="E10" s="89">
        <f>HLOOKUP($D$5,'8.1 Bourgeoisies Comptes 2021'!$E$3:$R$165,4,0)</f>
        <v>54744.65</v>
      </c>
    </row>
    <row r="11" spans="1:5" x14ac:dyDescent="0.25">
      <c r="C11">
        <v>301</v>
      </c>
      <c r="D11" t="s">
        <v>81</v>
      </c>
      <c r="E11" s="89">
        <f>HLOOKUP($D$5,'8.1 Bourgeoisies Comptes 2021'!$E$3:$R$165,5,0)</f>
        <v>225542.7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7275.6</v>
      </c>
    </row>
    <row r="15" spans="1:5" x14ac:dyDescent="0.25">
      <c r="C15">
        <v>305</v>
      </c>
      <c r="D15" t="s">
        <v>84</v>
      </c>
      <c r="E15" s="89">
        <f>HLOOKUP($D$5,'8.1 Bourgeoisies Comptes 2021'!$E$3:$R$165,9,0)</f>
        <v>75228.100000000006</v>
      </c>
    </row>
    <row r="16" spans="1:5" x14ac:dyDescent="0.25">
      <c r="C16">
        <v>306</v>
      </c>
      <c r="D16" t="s">
        <v>85</v>
      </c>
      <c r="E16" s="89">
        <f>HLOOKUP($D$5,'8.1 Bourgeoisies Comptes 2021'!$E$3:$R$165,10,0)</f>
        <v>0</v>
      </c>
    </row>
    <row r="17" spans="2:5" x14ac:dyDescent="0.25">
      <c r="C17">
        <v>309</v>
      </c>
      <c r="D17" t="s">
        <v>86</v>
      </c>
      <c r="E17" s="89">
        <f>HLOOKUP($D$5,'8.1 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HLOOKUP($D$5,'8.1 Bourgeoisies Comptes 2021'!$E$3:$R$165,14,0)</f>
        <v>7535.05</v>
      </c>
    </row>
    <row r="21" spans="2:5" x14ac:dyDescent="0.25">
      <c r="C21">
        <v>311</v>
      </c>
      <c r="D21" t="s">
        <v>452</v>
      </c>
      <c r="E21" s="89">
        <f>HLOOKUP($D$5,'8.1 Bourgeoisies Comptes 2021'!$E$3:$R$165,15,0)</f>
        <v>17109.400000000001</v>
      </c>
    </row>
    <row r="22" spans="2:5" x14ac:dyDescent="0.25">
      <c r="C22">
        <v>312</v>
      </c>
      <c r="D22" t="s">
        <v>90</v>
      </c>
      <c r="E22" s="89">
        <f>HLOOKUP($D$5,'8.1 Bourgeoisies Comptes 2021'!$E$3:$R$165,16,0)</f>
        <v>137462.45000000001</v>
      </c>
    </row>
    <row r="23" spans="2:5" x14ac:dyDescent="0.25">
      <c r="C23">
        <v>313</v>
      </c>
      <c r="D23" t="s">
        <v>91</v>
      </c>
      <c r="E23" s="89">
        <f>HLOOKUP($D$5,'8.1 Bourgeoisies Comptes 2021'!$E$3:$R$165,17,0)</f>
        <v>174482.3</v>
      </c>
    </row>
    <row r="24" spans="2:5" x14ac:dyDescent="0.25">
      <c r="C24">
        <v>314</v>
      </c>
      <c r="D24" t="s">
        <v>92</v>
      </c>
      <c r="E24" s="89">
        <f>HLOOKUP($D$5,'8.1 Bourgeoisies Comptes 2021'!$E$3:$R$165,18,0)</f>
        <v>151932.04999999999</v>
      </c>
    </row>
    <row r="25" spans="2:5" x14ac:dyDescent="0.25">
      <c r="C25">
        <v>315</v>
      </c>
      <c r="D25" t="s">
        <v>93</v>
      </c>
      <c r="E25" s="89">
        <f>HLOOKUP($D$5,'8.1 Bourgeoisies Comptes 2021'!$E$3:$R$165,19,0)</f>
        <v>0</v>
      </c>
    </row>
    <row r="26" spans="2:5" x14ac:dyDescent="0.25">
      <c r="C26">
        <v>316</v>
      </c>
      <c r="D26" t="s">
        <v>94</v>
      </c>
      <c r="E26" s="89">
        <f>HLOOKUP($D$5,'8.1 Bourgeoisies Comptes 2021'!$E$3:$R$165,20,0)</f>
        <v>0</v>
      </c>
    </row>
    <row r="27" spans="2:5" x14ac:dyDescent="0.25">
      <c r="C27">
        <v>317</v>
      </c>
      <c r="D27" t="s">
        <v>95</v>
      </c>
      <c r="E27" s="89">
        <f>HLOOKUP($D$5,'8.1 Bourgeoisies Comptes 2021'!$E$3:$R$165,21,0)</f>
        <v>3540.4</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HLOOKUP($D$5,'8.1 Bourgeoisies Comptes 2021'!$E$3:$R$165,26,0)</f>
        <v>41330</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HLOOKUP($D$5,'8.1 Bourgeoisies Comptes 2021'!$E$3:$R$165,30,0)</f>
        <v>24349.1</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90648.6</v>
      </c>
    </row>
    <row r="40" spans="2:5" x14ac:dyDescent="0.25">
      <c r="C40">
        <v>344</v>
      </c>
      <c r="D40" t="s">
        <v>106</v>
      </c>
      <c r="E40" s="89">
        <f>HLOOKUP($D$5,'8.1 Bourgeoisies Comptes 2021'!$E$3:$R$165,34,0)</f>
        <v>0</v>
      </c>
    </row>
    <row r="41" spans="2:5" x14ac:dyDescent="0.25">
      <c r="C41">
        <v>349</v>
      </c>
      <c r="D41" t="s">
        <v>107</v>
      </c>
      <c r="E41" s="89">
        <f>HLOOKUP($D$5,'8.1 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HLOOKUP($D$5,'8.1 Bourgeoisies Comptes 2021'!$E$3:$R$165,38,0)</f>
        <v>0</v>
      </c>
    </row>
    <row r="45" spans="2:5" x14ac:dyDescent="0.25">
      <c r="C45">
        <v>351</v>
      </c>
      <c r="D45" t="s">
        <v>108</v>
      </c>
      <c r="E45" s="89">
        <f>HLOOKUP($D$5,'8.1 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HLOOKUP($D$5,'8.1 Bourgeoisies Comptes 2021'!$E$3:$R$165,42,0)</f>
        <v>2000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50852</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1672687.31</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HLOOKUP($D$5,'8.1 Bourgeoisies Comptes 2021'!$E$3:$R$165,87,0)</f>
        <v>0</v>
      </c>
    </row>
    <row r="94" spans="2:5" x14ac:dyDescent="0.25">
      <c r="C94">
        <v>421</v>
      </c>
      <c r="D94" t="s">
        <v>149</v>
      </c>
      <c r="E94" s="89">
        <f>HLOOKUP($D$5,'8.1 Bourgeoisies Comptes 2021'!$E$3:$R$165,88,0)</f>
        <v>1200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41315.75</v>
      </c>
    </row>
    <row r="98" spans="2:5" x14ac:dyDescent="0.25">
      <c r="C98">
        <v>425</v>
      </c>
      <c r="D98" t="s">
        <v>153</v>
      </c>
      <c r="E98" s="89">
        <f>HLOOKUP($D$5,'8.1 Bourgeoisies Comptes 2021'!$E$3:$R$165,92,0)</f>
        <v>219727.9</v>
      </c>
    </row>
    <row r="99" spans="2:5" x14ac:dyDescent="0.25">
      <c r="C99">
        <v>426</v>
      </c>
      <c r="D99" t="s">
        <v>154</v>
      </c>
      <c r="E99" s="89">
        <f>HLOOKUP($D$5,'8.1 Bourgeoisies Comptes 2021'!$E$3:$R$165,93,0)</f>
        <v>58310.9</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HLOOKUP($D$5,'8.1 Bourgeoisies Comptes 2021'!$E$3:$R$165,98,0)</f>
        <v>150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HLOOKUP($D$5,'8.1 Bourgeoisies Comptes 2021'!$E$3:$R$165,104,0)</f>
        <v>43057.18</v>
      </c>
    </row>
    <row r="111" spans="2:5" x14ac:dyDescent="0.25">
      <c r="C111">
        <v>441</v>
      </c>
      <c r="D111" t="s">
        <v>164</v>
      </c>
      <c r="E111" s="89">
        <f>HLOOKUP($D$5,'8.1 Bourgeoisies Comptes 2021'!$E$3:$R$165,105,0)</f>
        <v>9352.2800000000007</v>
      </c>
    </row>
    <row r="112" spans="2:5" x14ac:dyDescent="0.25">
      <c r="C112">
        <v>442</v>
      </c>
      <c r="D112" t="s">
        <v>165</v>
      </c>
      <c r="E112" s="89">
        <f>HLOOKUP($D$5,'8.1 Bourgeoisies Comptes 2021'!$E$3:$R$165,106,0)</f>
        <v>2605.75</v>
      </c>
    </row>
    <row r="113" spans="2:5" x14ac:dyDescent="0.25">
      <c r="C113">
        <v>443</v>
      </c>
      <c r="D113" t="s">
        <v>166</v>
      </c>
      <c r="E113" s="89">
        <f>HLOOKUP($D$5,'8.1 Bourgeoisies Comptes 2021'!$E$3:$R$165,107,0)</f>
        <v>672099.35</v>
      </c>
    </row>
    <row r="114" spans="2:5" x14ac:dyDescent="0.25">
      <c r="C114">
        <v>444</v>
      </c>
      <c r="D114" t="s">
        <v>106</v>
      </c>
      <c r="E114" s="89">
        <f>HLOOKUP($D$5,'8.1 Bourgeoisies Comptes 2021'!$E$3:$R$165,108,0)</f>
        <v>14093.8</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419419.4</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HLOOKUP($D$5,'8.1 Bourgeoisies Comptes 2021'!$E$3:$R$165,116,0)</f>
        <v>0</v>
      </c>
    </row>
    <row r="123" spans="2:5" x14ac:dyDescent="0.25">
      <c r="C123">
        <v>451</v>
      </c>
      <c r="D123" t="s">
        <v>173</v>
      </c>
      <c r="E123" s="89">
        <f>HLOOKUP($D$5,'8.1 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17055</v>
      </c>
    </row>
    <row r="130" spans="2:5" x14ac:dyDescent="0.25">
      <c r="C130">
        <v>469</v>
      </c>
      <c r="D130" t="s">
        <v>179</v>
      </c>
      <c r="E130" s="89">
        <f>HLOOKUP($D$5,'8.1 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HLOOKUP($D$5,'8.1 Bourgeoisies Comptes 2021'!$E$3:$R$165,152,0)</f>
        <v>-699.52</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BG16" sqref="BG1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G16" sqref="BG16"/>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HLOOKUP($B$5,'8.1 Bourgeoisies Comptes 2021'!$E$3:$R$165,151,0)</f>
        <v>-699.52</v>
      </c>
    </row>
    <row r="10" spans="1:3" x14ac:dyDescent="0.25">
      <c r="A10" s="52">
        <v>900</v>
      </c>
      <c r="B10" s="53" t="s">
        <v>219</v>
      </c>
      <c r="C10" s="56">
        <f>HLOOKUP($B$5,'8.1 Bourgeoisies Comptes 2021'!$E$3:$R$165,152,0)</f>
        <v>-699.52</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topLeftCell="A4" workbookViewId="0">
      <selection activeCell="BG16" sqref="BG1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G16" sqref="BG16"/>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HLOOKUP($B$5,'8.1 Bourgeoisies Comptes 2021'!$E$3:$R$168,162,0)</f>
        <v>1205679.48</v>
      </c>
    </row>
    <row r="9" spans="1:3" x14ac:dyDescent="0.25">
      <c r="A9" s="52" t="s">
        <v>210</v>
      </c>
      <c r="B9" s="53" t="s">
        <v>204</v>
      </c>
      <c r="C9" s="56">
        <f>HLOOKUP($B$5,'8.1 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HLOOKUP($B$5,'8.1 Bourgeoisies Comptes 2021'!$E$3:$R$168,29,0)</f>
        <v>117707.35</v>
      </c>
    </row>
    <row r="13" spans="1:3" x14ac:dyDescent="0.25">
      <c r="A13" s="53">
        <v>44</v>
      </c>
      <c r="B13" s="53" t="s">
        <v>162</v>
      </c>
      <c r="C13" s="56">
        <f>HLOOKUP($B$5,'8.1 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HLOOKUP($B$5,'8.1 Bourgeoisies Comptes 2021'!$E$3:$R$168,54,0)</f>
        <v>350000</v>
      </c>
    </row>
    <row r="19" spans="1:3" x14ac:dyDescent="0.25">
      <c r="A19" s="53">
        <v>48</v>
      </c>
      <c r="B19" s="53" t="s">
        <v>181</v>
      </c>
      <c r="C19" s="56">
        <f>HLOOKUP($B$5,'8.1 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BG16" sqref="BG1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G16" sqref="BG1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1" t="s">
        <v>28</v>
      </c>
      <c r="C5" s="222"/>
      <c r="D5" s="223"/>
    </row>
    <row r="7" spans="1:5" x14ac:dyDescent="0.25">
      <c r="B7" s="51" t="s">
        <v>223</v>
      </c>
      <c r="C7" s="51"/>
      <c r="D7" s="51" t="s">
        <v>201</v>
      </c>
      <c r="E7" s="51" t="s">
        <v>202</v>
      </c>
    </row>
    <row r="8" spans="1:5" x14ac:dyDescent="0.25">
      <c r="B8" s="53">
        <v>90</v>
      </c>
      <c r="C8" s="58"/>
      <c r="D8" s="53" t="s">
        <v>799</v>
      </c>
      <c r="E8" s="56">
        <f>HLOOKUP($B$5,'8.1 Bourgeoisies Comptes 2021'!$E$3:$R$167,151,0)</f>
        <v>-699.52</v>
      </c>
    </row>
    <row r="9" spans="1:5" x14ac:dyDescent="0.25">
      <c r="B9" s="53">
        <v>33</v>
      </c>
      <c r="C9" s="58" t="s">
        <v>225</v>
      </c>
      <c r="D9" s="53" t="s">
        <v>98</v>
      </c>
      <c r="E9" s="56">
        <f>HLOOKUP($B$5,'8.1 Bourgeoisies Comptes 2021'!$E$3:$R$167,25,0)</f>
        <v>41330</v>
      </c>
    </row>
    <row r="10" spans="1:5" x14ac:dyDescent="0.25">
      <c r="B10" s="53">
        <v>35</v>
      </c>
      <c r="C10" s="58" t="s">
        <v>225</v>
      </c>
      <c r="D10" s="53" t="s">
        <v>227</v>
      </c>
      <c r="E10" s="56">
        <f>HLOOKUP($B$5,'8.1 Bourgeoisies Comptes 2021'!$E$3:$R$167,37,0)</f>
        <v>234871.18</v>
      </c>
    </row>
    <row r="11" spans="1:5" x14ac:dyDescent="0.25">
      <c r="B11" s="53">
        <v>45</v>
      </c>
      <c r="C11" s="58" t="s">
        <v>226</v>
      </c>
      <c r="D11" s="53" t="s">
        <v>174</v>
      </c>
      <c r="E11" s="56">
        <f>HLOOKUP($B$5,'8.1 Bourgeoisies Comptes 2021'!$E$3:$R$167,115,0)</f>
        <v>174300</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350000</v>
      </c>
    </row>
    <row r="16" spans="1:5" x14ac:dyDescent="0.25">
      <c r="B16" s="53">
        <v>4490</v>
      </c>
      <c r="C16" s="58" t="s">
        <v>226</v>
      </c>
      <c r="D16" s="53" t="s">
        <v>236</v>
      </c>
      <c r="E16" s="56">
        <f>HLOOKUP($B$5,'8.1 Bourgeoisies Comptes 2021'!$E$3:$R$167,113,0)</f>
        <v>0</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HLOOKUP($B$5,'8.13 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I4" activePane="bottomRight" state="frozen"/>
      <selection activeCell="BG16" sqref="BG16"/>
      <selection pane="topRight" activeCell="BG16" sqref="BG16"/>
      <selection pane="bottomLeft" activeCell="BG16" sqref="BG16"/>
      <selection pane="bottomRight" activeCell="BG16" sqref="BG16"/>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BG16" sqref="BG16"/>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BG16" sqref="BG16"/>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B25" zoomScale="150" zoomScaleNormal="150" workbookViewId="0">
      <selection activeCell="O41" sqref="O41"/>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G16" sqref="BG16"/>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HLOOKUP($B$4,'8.11 Bourgeoisie endettement'!$C$6:$P$22,2,0)</f>
        <v>31956806.93</v>
      </c>
    </row>
    <row r="8" spans="1:3" x14ac:dyDescent="0.25">
      <c r="A8" s="67"/>
      <c r="B8" s="67"/>
      <c r="C8" s="4"/>
    </row>
    <row r="9" spans="1:3" x14ac:dyDescent="0.25">
      <c r="A9" s="67">
        <v>20</v>
      </c>
      <c r="B9" s="67" t="s">
        <v>252</v>
      </c>
      <c r="C9" s="4">
        <f>HLOOKUP($B$4,'8.11 Bourgeoisie endettement'!$C$6:$P$22,4,0)</f>
        <v>4196382.0999999996</v>
      </c>
    </row>
    <row r="10" spans="1:3" x14ac:dyDescent="0.25">
      <c r="A10" s="67"/>
      <c r="B10" s="67"/>
      <c r="C10" s="4"/>
    </row>
    <row r="11" spans="1:3" x14ac:dyDescent="0.25">
      <c r="A11" s="67">
        <v>200</v>
      </c>
      <c r="B11" s="67" t="s">
        <v>451</v>
      </c>
      <c r="C11" s="4">
        <f>HLOOKUP($B$4,'8.11 Bourgeoisie endettement'!$C$6:$P$22,6,0)</f>
        <v>188444.6</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3283750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3472194.6</v>
      </c>
    </row>
    <row r="21" spans="1:3" x14ac:dyDescent="0.25">
      <c r="A21" s="67"/>
      <c r="B21" s="7"/>
      <c r="C21" s="41"/>
    </row>
    <row r="22" spans="1:3" x14ac:dyDescent="0.25">
      <c r="A22" s="67"/>
      <c r="B22" s="99" t="s">
        <v>498</v>
      </c>
      <c r="C22" s="100">
        <f>HLOOKUP($B$4,'8.11 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F148" activePane="bottomRight" state="frozen"/>
      <selection activeCell="BG16" sqref="BG16"/>
      <selection pane="topRight" activeCell="BG16" sqref="BG16"/>
      <selection pane="bottomLeft" activeCell="BG16" sqref="BG16"/>
      <selection pane="bottomRight" activeCell="BG16" sqref="BG16"/>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BG16" sqref="BG16"/>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G100" activePane="bottomRight" state="frozen"/>
      <selection activeCell="BG16" sqref="BG16"/>
      <selection pane="topRight" activeCell="BG16" sqref="BG16"/>
      <selection pane="bottomLeft" activeCell="BG16" sqref="BG16"/>
      <selection pane="bottomRight" activeCell="BG16" sqref="BG1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165932.25</v>
      </c>
      <c r="AC4" s="93">
        <f t="shared" si="0"/>
        <v>132117.85</v>
      </c>
      <c r="AD4" s="93">
        <f t="shared" si="0"/>
        <v>3101672.9299999997</v>
      </c>
      <c r="AE4" s="93">
        <f t="shared" si="0"/>
        <v>359411.53</v>
      </c>
      <c r="AF4" s="93">
        <f t="shared" si="0"/>
        <v>32501146.390000001</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49116.3</v>
      </c>
      <c r="AC5" s="95">
        <f t="shared" si="1"/>
        <v>15174.75</v>
      </c>
      <c r="AD5" s="95">
        <f t="shared" si="1"/>
        <v>716473.45</v>
      </c>
      <c r="AE5" s="95">
        <f t="shared" si="1"/>
        <v>35560.65</v>
      </c>
      <c r="AF5" s="95">
        <f t="shared" si="1"/>
        <v>5302337.45</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v>9941</v>
      </c>
      <c r="AC6" s="4">
        <v>5954.1</v>
      </c>
      <c r="AD6" s="4">
        <v>5802.3</v>
      </c>
      <c r="AE6" s="4">
        <v>3150</v>
      </c>
      <c r="AF6" s="4">
        <f t="shared" ref="AF6:AF13" si="2">SUM(E6:AE6)</f>
        <v>262793.39999999997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v>28746.5</v>
      </c>
      <c r="AC7" s="4">
        <v>7556.25</v>
      </c>
      <c r="AD7" s="4">
        <v>577367.69999999995</v>
      </c>
      <c r="AE7" s="4">
        <v>26831.25</v>
      </c>
      <c r="AF7" s="4">
        <f t="shared" si="2"/>
        <v>4045543.55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v>0</v>
      </c>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v>0</v>
      </c>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v>0</v>
      </c>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v>10178.799999999999</v>
      </c>
      <c r="AC11" s="4">
        <v>1092.0999999999999</v>
      </c>
      <c r="AD11" s="4">
        <v>122098.95</v>
      </c>
      <c r="AE11" s="4">
        <v>3903.9</v>
      </c>
      <c r="AF11" s="4">
        <f t="shared" si="2"/>
        <v>864897.04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v>0</v>
      </c>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v>250</v>
      </c>
      <c r="AC13" s="4">
        <v>572.29999999999995</v>
      </c>
      <c r="AD13" s="4">
        <v>11204.5</v>
      </c>
      <c r="AE13" s="4">
        <v>1125.5</v>
      </c>
      <c r="AF13" s="4">
        <f t="shared" si="2"/>
        <v>73204.319999999978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106150.95</v>
      </c>
      <c r="AC15" s="95">
        <f t="shared" si="3"/>
        <v>12127.65</v>
      </c>
      <c r="AD15" s="95">
        <f t="shared" si="3"/>
        <v>1878704.6599999997</v>
      </c>
      <c r="AE15" s="95">
        <f t="shared" si="3"/>
        <v>101238.88</v>
      </c>
      <c r="AF15" s="95">
        <f t="shared" si="3"/>
        <v>14352612.210000001</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v>1779.9</v>
      </c>
      <c r="AC16" s="4">
        <v>50</v>
      </c>
      <c r="AD16" s="4">
        <v>360048.25</v>
      </c>
      <c r="AE16" s="4">
        <v>2603.3000000000002</v>
      </c>
      <c r="AF16" s="4">
        <f t="shared" ref="AF16:AF25" si="4">SUM(E16:AE16)</f>
        <v>1920984.7099999997</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v>44526.7</v>
      </c>
      <c r="AC17" s="4">
        <v>0</v>
      </c>
      <c r="AD17" s="4">
        <v>41284.660000000003</v>
      </c>
      <c r="AE17" s="4">
        <v>9797.35</v>
      </c>
      <c r="AF17" s="4">
        <f t="shared" si="4"/>
        <v>320821.40000000002</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v>23646.3</v>
      </c>
      <c r="AC18" s="4">
        <v>6366</v>
      </c>
      <c r="AD18" s="4">
        <v>207912.19</v>
      </c>
      <c r="AE18" s="4">
        <v>21773.55</v>
      </c>
      <c r="AF18" s="4">
        <f t="shared" si="4"/>
        <v>2262234.7199999997</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v>36198.050000000003</v>
      </c>
      <c r="AC19" s="4">
        <v>4780.8</v>
      </c>
      <c r="AD19" s="4">
        <v>628759.06999999995</v>
      </c>
      <c r="AE19" s="4">
        <v>53855.5</v>
      </c>
      <c r="AF19" s="4">
        <f t="shared" si="4"/>
        <v>7245230.2199999997</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v>0</v>
      </c>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v>0</v>
      </c>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v>0</v>
      </c>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v>0</v>
      </c>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v>0</v>
      </c>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v>0</v>
      </c>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v>0</v>
      </c>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v>0</v>
      </c>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v>0</v>
      </c>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v>0</v>
      </c>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v>0</v>
      </c>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v>0</v>
      </c>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v>0</v>
      </c>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v>0</v>
      </c>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v>0</v>
      </c>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v>0</v>
      </c>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10665</v>
      </c>
      <c r="AC43" s="95">
        <f t="shared" si="10"/>
        <v>89637.75</v>
      </c>
      <c r="AD43" s="95">
        <f t="shared" si="10"/>
        <v>0</v>
      </c>
      <c r="AE43" s="95">
        <f t="shared" si="10"/>
        <v>9612</v>
      </c>
      <c r="AF43" s="95">
        <f t="shared" si="10"/>
        <v>1638500.82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v>0</v>
      </c>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v>0</v>
      </c>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v>0</v>
      </c>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v>0</v>
      </c>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v>0</v>
      </c>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v>0</v>
      </c>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v>0</v>
      </c>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v>10665</v>
      </c>
      <c r="AC51" s="4">
        <v>0</v>
      </c>
      <c r="AD51" s="4">
        <v>0</v>
      </c>
      <c r="AE51" s="4">
        <v>9612</v>
      </c>
      <c r="AF51" s="4">
        <f t="shared" si="11"/>
        <v>348633</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v>0</v>
      </c>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v>0</v>
      </c>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v>0</v>
      </c>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v>0</v>
      </c>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v>0</v>
      </c>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v>0</v>
      </c>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v>0</v>
      </c>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v>0</v>
      </c>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v>0</v>
      </c>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v>0</v>
      </c>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v>0</v>
      </c>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v>0</v>
      </c>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v>0</v>
      </c>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v>0</v>
      </c>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v>0</v>
      </c>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207255.95</v>
      </c>
      <c r="AC75" s="97">
        <f t="shared" si="17"/>
        <v>132117.85</v>
      </c>
      <c r="AD75" s="97">
        <f t="shared" si="17"/>
        <v>3138006.2499999995</v>
      </c>
      <c r="AE75" s="97">
        <f t="shared" si="17"/>
        <v>325122.65000000002</v>
      </c>
      <c r="AF75" s="97">
        <f t="shared" si="17"/>
        <v>32797249.259999998</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v>0</v>
      </c>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v>0</v>
      </c>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v>0</v>
      </c>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v>0</v>
      </c>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v>0</v>
      </c>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v>0</v>
      </c>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v>0</v>
      </c>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v>0</v>
      </c>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v>0</v>
      </c>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v>0</v>
      </c>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v>0</v>
      </c>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v>0</v>
      </c>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v>0</v>
      </c>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v>0</v>
      </c>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v>0</v>
      </c>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v>0</v>
      </c>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v>0</v>
      </c>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v>0</v>
      </c>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v>0</v>
      </c>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v>0</v>
      </c>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v>0</v>
      </c>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37891.949999999997</v>
      </c>
      <c r="AC105" s="91">
        <f t="shared" si="23"/>
        <v>3.25</v>
      </c>
      <c r="AD105" s="91">
        <f t="shared" si="23"/>
        <v>16400.95</v>
      </c>
      <c r="AE105" s="91">
        <f t="shared" si="23"/>
        <v>0</v>
      </c>
      <c r="AF105" s="91">
        <f t="shared" si="23"/>
        <v>691836.45000000007</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v>37891.949999999997</v>
      </c>
      <c r="AC106" s="4">
        <v>3.25</v>
      </c>
      <c r="AD106" s="4">
        <v>0</v>
      </c>
      <c r="AE106" s="4">
        <v>0</v>
      </c>
      <c r="AF106" s="4">
        <f t="shared" ref="AF106:AF115" si="24">SUM(E106:AE106)</f>
        <v>49869.1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v>0</v>
      </c>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v>0</v>
      </c>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v>0</v>
      </c>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v>0</v>
      </c>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v>0</v>
      </c>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v>0</v>
      </c>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v>0</v>
      </c>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v>0</v>
      </c>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v>0</v>
      </c>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v>0</v>
      </c>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v>0</v>
      </c>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169364</v>
      </c>
      <c r="AC121" s="91">
        <f t="shared" si="26"/>
        <v>131844.6</v>
      </c>
      <c r="AD121" s="91">
        <f t="shared" si="26"/>
        <v>2806775.0999999996</v>
      </c>
      <c r="AE121" s="91">
        <f t="shared" si="26"/>
        <v>200026.65</v>
      </c>
      <c r="AF121" s="91">
        <f t="shared" si="26"/>
        <v>14341969.699999999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v>0</v>
      </c>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v>169364</v>
      </c>
      <c r="AC123" s="4">
        <v>131844.6</v>
      </c>
      <c r="AD123" s="4">
        <v>2568236.2999999998</v>
      </c>
      <c r="AE123" s="4">
        <v>190414.65</v>
      </c>
      <c r="AF123" s="4">
        <f>SUM(E123:AE123)</f>
        <v>13670937.049999999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v>0</v>
      </c>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v>0</v>
      </c>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v>0</v>
      </c>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v>0</v>
      </c>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v>0</v>
      </c>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v>0</v>
      </c>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v>0</v>
      </c>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v>0</v>
      </c>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v>0</v>
      </c>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v>0</v>
      </c>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v>0</v>
      </c>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v>0</v>
      </c>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v>0</v>
      </c>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v>0</v>
      </c>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v>0</v>
      </c>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v>0</v>
      </c>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v>0</v>
      </c>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v>0</v>
      </c>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v>0</v>
      </c>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41323.699999999997</v>
      </c>
      <c r="AC153" s="108">
        <f t="shared" si="32"/>
        <v>0</v>
      </c>
      <c r="AD153" s="108">
        <f t="shared" si="32"/>
        <v>36333.32</v>
      </c>
      <c r="AE153" s="108">
        <f t="shared" si="32"/>
        <v>-34288.879999999997</v>
      </c>
      <c r="AF153" s="108">
        <f t="shared" si="32"/>
        <v>296102.87</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v>41323.699999999997</v>
      </c>
      <c r="AC154" s="4">
        <v>0</v>
      </c>
      <c r="AD154" s="4">
        <v>36333.32</v>
      </c>
      <c r="AE154" s="4">
        <v>-34288.879999999997</v>
      </c>
      <c r="AF154" s="4">
        <f>SUM(E154:AE154)</f>
        <v>212457.09999999998</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v>0</v>
      </c>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41323.699999999997</v>
      </c>
      <c r="AC157" s="41">
        <f t="shared" si="33"/>
        <v>0</v>
      </c>
      <c r="AD157" s="41">
        <f t="shared" si="33"/>
        <v>36333.32</v>
      </c>
      <c r="AE157" s="41">
        <f t="shared" si="33"/>
        <v>-34288.879999999997</v>
      </c>
      <c r="AF157" s="41">
        <f t="shared" si="33"/>
        <v>296102.87</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41323.700000000012</v>
      </c>
      <c r="AC161" s="41">
        <f t="shared" si="34"/>
        <v>0</v>
      </c>
      <c r="AD161" s="41">
        <f t="shared" si="34"/>
        <v>36333.319999999832</v>
      </c>
      <c r="AE161" s="41">
        <f t="shared" si="34"/>
        <v>-34288.880000000005</v>
      </c>
      <c r="AF161" s="41">
        <f t="shared" si="34"/>
        <v>296102.86999999732</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2.6775524020195007E-9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165932.25</v>
      </c>
      <c r="AC166" s="4">
        <f t="shared" si="38"/>
        <v>132117.85</v>
      </c>
      <c r="AD166" s="4">
        <f t="shared" si="38"/>
        <v>3021219.9599999995</v>
      </c>
      <c r="AE166" s="4">
        <f t="shared" si="38"/>
        <v>359411.53</v>
      </c>
      <c r="AF166" s="4">
        <f t="shared" si="38"/>
        <v>30383701.870000001</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169364</v>
      </c>
      <c r="AC167" s="4">
        <f t="shared" si="39"/>
        <v>132114.6</v>
      </c>
      <c r="AD167" s="4">
        <f t="shared" si="39"/>
        <v>3121605.3</v>
      </c>
      <c r="AE167" s="4">
        <f t="shared" si="39"/>
        <v>325122.65000000002</v>
      </c>
      <c r="AF167" s="4">
        <f t="shared" si="39"/>
        <v>31909777.02</v>
      </c>
      <c r="AG167">
        <v>165</v>
      </c>
    </row>
    <row r="169" spans="4:33" x14ac:dyDescent="0.25">
      <c r="L169" s="4"/>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G16" sqref="BG16"/>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823</v>
      </c>
    </row>
    <row r="7" spans="1:5" x14ac:dyDescent="0.25">
      <c r="E7" s="65" t="s">
        <v>202</v>
      </c>
    </row>
    <row r="8" spans="1:5" ht="21" x14ac:dyDescent="0.35">
      <c r="A8" s="92">
        <v>3</v>
      </c>
      <c r="B8" s="92"/>
      <c r="C8" s="92"/>
      <c r="D8" s="92" t="s">
        <v>60</v>
      </c>
      <c r="E8" s="171">
        <f>HLOOKUP($D$5,'9.1 Syndicats comptes 2021'!$E$3:$AF$167,2,0)</f>
        <v>165932.25</v>
      </c>
    </row>
    <row r="9" spans="1:5" x14ac:dyDescent="0.25">
      <c r="A9" s="94"/>
      <c r="B9" s="94">
        <v>30</v>
      </c>
      <c r="C9" s="94"/>
      <c r="D9" s="94" t="s">
        <v>61</v>
      </c>
      <c r="E9" s="95">
        <f>HLOOKUP($D$5,'9.1 Syndicats comptes 2021'!$E$3:$AF$167,3,0)</f>
        <v>49116.3</v>
      </c>
    </row>
    <row r="10" spans="1:5" x14ac:dyDescent="0.25">
      <c r="C10">
        <v>300</v>
      </c>
      <c r="D10" t="s">
        <v>80</v>
      </c>
      <c r="E10" s="4">
        <f>HLOOKUP($D$5,'9.1 Syndicats comptes 2021'!$E$3:$AF$167,4,0)</f>
        <v>9941</v>
      </c>
    </row>
    <row r="11" spans="1:5" x14ac:dyDescent="0.25">
      <c r="C11">
        <v>301</v>
      </c>
      <c r="D11" t="s">
        <v>81</v>
      </c>
      <c r="E11" s="4">
        <f>HLOOKUP($D$5,'9.1 Syndicats comptes 2021'!$E$3:$AF$167,5,0)</f>
        <v>28746.5</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10178.799999999999</v>
      </c>
    </row>
    <row r="16" spans="1:5" x14ac:dyDescent="0.25">
      <c r="C16">
        <v>306</v>
      </c>
      <c r="D16" t="s">
        <v>85</v>
      </c>
      <c r="E16" s="4">
        <f>HLOOKUP($D$5,'9.1 Syndicats comptes 2021'!$E$3:$AF$167,10,0)</f>
        <v>0</v>
      </c>
    </row>
    <row r="17" spans="2:5" x14ac:dyDescent="0.25">
      <c r="C17">
        <v>309</v>
      </c>
      <c r="D17" t="s">
        <v>86</v>
      </c>
      <c r="E17" s="4">
        <f>HLOOKUP($D$5,'9.1 Syndicats comptes 2021'!$E$3:$AF$167,11,0)</f>
        <v>250</v>
      </c>
    </row>
    <row r="18" spans="2:5" x14ac:dyDescent="0.25">
      <c r="E18" s="4"/>
    </row>
    <row r="19" spans="2:5" x14ac:dyDescent="0.25">
      <c r="B19" s="94">
        <v>31</v>
      </c>
      <c r="C19" s="94"/>
      <c r="D19" s="94" t="s">
        <v>87</v>
      </c>
      <c r="E19" s="95">
        <f>HLOOKUP($D$5,'9.1 Syndicats comptes 2021'!$E$3:$AF$167,13,0)</f>
        <v>106150.95</v>
      </c>
    </row>
    <row r="20" spans="2:5" x14ac:dyDescent="0.25">
      <c r="C20">
        <v>310</v>
      </c>
      <c r="D20" t="s">
        <v>88</v>
      </c>
      <c r="E20" s="4">
        <f>HLOOKUP($D$5,'9.1 Syndicats comptes 2021'!$E$3:$AF$167,14,0)</f>
        <v>1779.9</v>
      </c>
    </row>
    <row r="21" spans="2:5" x14ac:dyDescent="0.25">
      <c r="C21">
        <v>311</v>
      </c>
      <c r="D21" t="s">
        <v>452</v>
      </c>
      <c r="E21" s="4">
        <f>HLOOKUP($D$5,'9.1 Syndicats comptes 2021'!$E$3:$AF$167,15,0)</f>
        <v>44526.7</v>
      </c>
    </row>
    <row r="22" spans="2:5" x14ac:dyDescent="0.25">
      <c r="C22">
        <v>312</v>
      </c>
      <c r="D22" t="s">
        <v>90</v>
      </c>
      <c r="E22" s="4">
        <f>HLOOKUP($D$5,'9.1 Syndicats comptes 2021'!$E$3:$AF$167,16,0)</f>
        <v>23646.3</v>
      </c>
    </row>
    <row r="23" spans="2:5" x14ac:dyDescent="0.25">
      <c r="C23">
        <v>313</v>
      </c>
      <c r="D23" t="s">
        <v>91</v>
      </c>
      <c r="E23" s="4">
        <f>HLOOKUP($D$5,'9.1 Syndicats comptes 2021'!$E$3:$AF$167,17,0)</f>
        <v>36198.050000000003</v>
      </c>
    </row>
    <row r="24" spans="2:5" x14ac:dyDescent="0.25">
      <c r="C24">
        <v>314</v>
      </c>
      <c r="D24" t="s">
        <v>92</v>
      </c>
      <c r="E24" s="4">
        <f>HLOOKUP($D$5,'9.1 Syndicats comptes 2021'!$E$3:$AF$167,18,0)</f>
        <v>0</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0</v>
      </c>
    </row>
    <row r="32" spans="2:5" x14ac:dyDescent="0.25">
      <c r="C32">
        <v>330</v>
      </c>
      <c r="D32" t="s">
        <v>100</v>
      </c>
      <c r="E32" s="4">
        <f>HLOOKUP($D$5,'9.1 Syndicats comptes 2021'!$E$3:$AF$167,26,0)</f>
        <v>0</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10665</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10665</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207255.95</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37891.949999999997</v>
      </c>
    </row>
    <row r="110" spans="2:5" x14ac:dyDescent="0.25">
      <c r="C110">
        <v>440</v>
      </c>
      <c r="D110" t="s">
        <v>163</v>
      </c>
      <c r="E110" s="4">
        <f>HLOOKUP($D$5,'9.1 Syndicats comptes 2021'!$E$3:$AF$167,104,0)</f>
        <v>37891.949999999997</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169364</v>
      </c>
    </row>
    <row r="126" spans="2:5" x14ac:dyDescent="0.25">
      <c r="C126">
        <v>460</v>
      </c>
      <c r="D126" t="s">
        <v>176</v>
      </c>
      <c r="E126" s="4">
        <f>HLOOKUP($D$5,'9.1 Syndicats comptes 2021'!$E$3:$AF$167,120,0)</f>
        <v>0</v>
      </c>
    </row>
    <row r="127" spans="2:5" x14ac:dyDescent="0.25">
      <c r="C127">
        <v>461</v>
      </c>
      <c r="D127" t="s">
        <v>177</v>
      </c>
      <c r="E127" s="4">
        <f>HLOOKUP($D$5,'9.1 Syndicats comptes 2021'!$E$3:$AF$167,121,0)</f>
        <v>169364</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41323.699999999997</v>
      </c>
    </row>
    <row r="158" spans="1:5" x14ac:dyDescent="0.25">
      <c r="C158">
        <v>900</v>
      </c>
      <c r="D158" t="s">
        <v>196</v>
      </c>
      <c r="E158" s="4">
        <f>HLOOKUP($D$5,'9.1 Syndicats comptes 2021'!$E$3:$AF$167,152,0)</f>
        <v>41323.699999999997</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41323.699999999997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BG16" sqref="BG1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296102.87</v>
      </c>
    </row>
    <row r="7" spans="1:3" x14ac:dyDescent="0.25">
      <c r="A7" s="52">
        <v>900</v>
      </c>
      <c r="B7" s="53" t="s">
        <v>219</v>
      </c>
      <c r="C7" s="56">
        <f>'9.1 Syndicats comptes 2021'!AF154</f>
        <v>212457.09999999998</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G16" sqref="BG16"/>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823</v>
      </c>
    </row>
    <row r="8" spans="1:3" x14ac:dyDescent="0.25">
      <c r="A8" s="51" t="s">
        <v>216</v>
      </c>
      <c r="B8" s="51" t="s">
        <v>201</v>
      </c>
      <c r="C8" s="51" t="s">
        <v>840</v>
      </c>
    </row>
    <row r="9" spans="1:3" x14ac:dyDescent="0.25">
      <c r="A9" s="52">
        <v>90</v>
      </c>
      <c r="B9" s="53" t="s">
        <v>218</v>
      </c>
      <c r="C9" s="56">
        <f>HLOOKUP($B$5,'9.1 Syndicats comptes 2021'!$E$3:$AF$168,151,0)</f>
        <v>41323.699999999997</v>
      </c>
    </row>
    <row r="10" spans="1:3" x14ac:dyDescent="0.25">
      <c r="A10" s="52">
        <v>900</v>
      </c>
      <c r="B10" s="53" t="s">
        <v>219</v>
      </c>
      <c r="C10" s="56">
        <f>HLOOKUP($B$5,'9.1 Syndicats comptes 2021'!$E$3:$AF$168,152,0)</f>
        <v>41323.699999999997</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BG16" sqref="BG1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30383701.870000001</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31909777.02</v>
      </c>
    </row>
    <row r="10" spans="1:3" x14ac:dyDescent="0.25">
      <c r="A10" s="53"/>
      <c r="B10" s="55" t="s">
        <v>205</v>
      </c>
      <c r="C10" s="62">
        <f>C9-C8</f>
        <v>1526075.1499999985</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691836.45000000007</v>
      </c>
    </row>
    <row r="14" spans="1:3" x14ac:dyDescent="0.25">
      <c r="A14" s="53"/>
      <c r="B14" s="55" t="s">
        <v>238</v>
      </c>
      <c r="C14" s="62">
        <f>C13-C12</f>
        <v>-99327.669999999809</v>
      </c>
    </row>
    <row r="15" spans="1:3" x14ac:dyDescent="0.25">
      <c r="A15" s="53"/>
      <c r="B15" s="53"/>
      <c r="C15" s="53"/>
    </row>
    <row r="16" spans="1:3" x14ac:dyDescent="0.25">
      <c r="A16" s="53"/>
      <c r="B16" s="55" t="s">
        <v>206</v>
      </c>
      <c r="C16" s="62">
        <f>C10+C14</f>
        <v>1426747.4799999986</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296102.86999999848</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G16" sqref="BG16"/>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823</v>
      </c>
    </row>
    <row r="7" spans="1:3" x14ac:dyDescent="0.25">
      <c r="A7" s="51" t="s">
        <v>200</v>
      </c>
      <c r="B7" s="51" t="s">
        <v>201</v>
      </c>
      <c r="C7" s="51" t="s">
        <v>202</v>
      </c>
    </row>
    <row r="8" spans="1:3" x14ac:dyDescent="0.25">
      <c r="A8" s="52" t="s">
        <v>209</v>
      </c>
      <c r="B8" s="53" t="s">
        <v>203</v>
      </c>
      <c r="C8" s="56">
        <f>HLOOKUP($B$5,'9.1 Syndicats comptes 2021'!$E$3:$AF$167,164,0)</f>
        <v>165932.25</v>
      </c>
    </row>
    <row r="9" spans="1:3" x14ac:dyDescent="0.25">
      <c r="A9" s="52" t="s">
        <v>210</v>
      </c>
      <c r="B9" s="53" t="s">
        <v>204</v>
      </c>
      <c r="C9" s="56">
        <f>HLOOKUP($B$5,'9.1 Syndicats comptes 2021'!$E$3:$AF$167,165,0)</f>
        <v>169364</v>
      </c>
    </row>
    <row r="10" spans="1:3" x14ac:dyDescent="0.25">
      <c r="A10" s="53"/>
      <c r="B10" s="55" t="s">
        <v>205</v>
      </c>
      <c r="C10" s="62">
        <f>C9-C8</f>
        <v>3431.75</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37891.949999999997</v>
      </c>
    </row>
    <row r="14" spans="1:3" x14ac:dyDescent="0.25">
      <c r="A14" s="53"/>
      <c r="B14" s="55" t="s">
        <v>238</v>
      </c>
      <c r="C14" s="62">
        <f>C13-C12</f>
        <v>37891.949999999997</v>
      </c>
    </row>
    <row r="15" spans="1:3" x14ac:dyDescent="0.25">
      <c r="A15" s="53"/>
      <c r="B15" s="53"/>
      <c r="C15" s="53"/>
    </row>
    <row r="16" spans="1:3" x14ac:dyDescent="0.25">
      <c r="A16" s="53"/>
      <c r="B16" s="55" t="s">
        <v>206</v>
      </c>
      <c r="C16" s="62">
        <f>C10+C14</f>
        <v>41323.699999999997</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41323.699999999997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H196" activePane="bottomRight" state="frozen"/>
      <selection activeCell="BG16" sqref="BG16"/>
      <selection pane="topRight" activeCell="BG16" sqref="BG16"/>
      <selection pane="bottomLeft" activeCell="BG16" sqref="BG16"/>
      <selection pane="bottomRight" activeCell="BG16" sqref="BG16"/>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364928.56</v>
      </c>
      <c r="AD4" s="87">
        <f t="shared" si="0"/>
        <v>150475.90000000002</v>
      </c>
      <c r="AE4" s="87">
        <f t="shared" si="0"/>
        <v>8747101.1699999999</v>
      </c>
      <c r="AF4" s="87">
        <f t="shared" si="0"/>
        <v>755282.5</v>
      </c>
      <c r="AG4" s="87">
        <f t="shared" ref="AG4:AG12" si="1">SUM(F4:AF4)</f>
        <v>153857810.92000002</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364928.56</v>
      </c>
      <c r="AD5" s="75">
        <f t="shared" si="2"/>
        <v>150475.90000000002</v>
      </c>
      <c r="AE5" s="75">
        <f t="shared" si="2"/>
        <v>590901.02</v>
      </c>
      <c r="AF5" s="75">
        <f t="shared" si="2"/>
        <v>751902.5</v>
      </c>
      <c r="AG5" s="75">
        <f t="shared" si="1"/>
        <v>33941280.61999999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364087.11</v>
      </c>
      <c r="AD6" s="70">
        <f t="shared" si="3"/>
        <v>133658.34000000003</v>
      </c>
      <c r="AE6" s="70">
        <f t="shared" si="3"/>
        <v>516112.57</v>
      </c>
      <c r="AF6" s="70">
        <f t="shared" si="3"/>
        <v>530004.9</v>
      </c>
      <c r="AG6" s="70">
        <f t="shared" si="1"/>
        <v>19825631.309999995</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v>154.30000000000001</v>
      </c>
      <c r="AD7" s="4">
        <v>39.200000000000003</v>
      </c>
      <c r="AE7" s="4">
        <v>1590.75</v>
      </c>
      <c r="AF7" s="4">
        <v>105</v>
      </c>
      <c r="AG7" s="80">
        <f t="shared" si="1"/>
        <v>15536.910000000002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v>0</v>
      </c>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v>363932.81</v>
      </c>
      <c r="AD9" s="4">
        <v>133619.14000000001</v>
      </c>
      <c r="AE9" s="4">
        <v>361378.46</v>
      </c>
      <c r="AF9" s="4">
        <v>529899.9</v>
      </c>
      <c r="AG9" s="80">
        <f t="shared" si="1"/>
        <v>16161643.460000001</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v>0</v>
      </c>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v>0</v>
      </c>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v>0</v>
      </c>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v>0</v>
      </c>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v>0</v>
      </c>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v>0</v>
      </c>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v>0</v>
      </c>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v>0</v>
      </c>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v>0</v>
      </c>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v>0</v>
      </c>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v>0</v>
      </c>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v>0</v>
      </c>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v>0</v>
      </c>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v>0</v>
      </c>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v>0</v>
      </c>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841.45</v>
      </c>
      <c r="AD30" s="70">
        <f t="shared" si="7"/>
        <v>1667.7</v>
      </c>
      <c r="AE30" s="70">
        <f t="shared" si="7"/>
        <v>0</v>
      </c>
      <c r="AF30" s="70">
        <f t="shared" si="7"/>
        <v>93325.65</v>
      </c>
      <c r="AG30" s="70">
        <f t="shared" ref="AG30:AG38" si="8">SUM(F30:AF30)</f>
        <v>3223963.67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v>0</v>
      </c>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v>841.45</v>
      </c>
      <c r="AD32" s="4">
        <v>1667.7</v>
      </c>
      <c r="AE32" s="4">
        <v>0</v>
      </c>
      <c r="AF32" s="4">
        <v>93325.65</v>
      </c>
      <c r="AG32" s="80">
        <f t="shared" si="8"/>
        <v>2346520.5600000005</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v>0</v>
      </c>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v>0</v>
      </c>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v>0</v>
      </c>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v>0</v>
      </c>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v>0</v>
      </c>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v>0</v>
      </c>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v>0</v>
      </c>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v>0</v>
      </c>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v>0</v>
      </c>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v>0</v>
      </c>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v>0</v>
      </c>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v>0</v>
      </c>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v>0</v>
      </c>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v>0</v>
      </c>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v>0</v>
      </c>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v>0</v>
      </c>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v>0</v>
      </c>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v>0</v>
      </c>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v>0</v>
      </c>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v>0</v>
      </c>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v>0</v>
      </c>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v>0</v>
      </c>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v>0</v>
      </c>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v>0</v>
      </c>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v>0</v>
      </c>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v>0</v>
      </c>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v>0</v>
      </c>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v>0</v>
      </c>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v>0</v>
      </c>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v>0</v>
      </c>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v>0</v>
      </c>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v>0</v>
      </c>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v>0</v>
      </c>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v>0</v>
      </c>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v>0</v>
      </c>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v>0</v>
      </c>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v>0</v>
      </c>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v>0</v>
      </c>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v>0</v>
      </c>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v>0</v>
      </c>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v>0</v>
      </c>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v>0</v>
      </c>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v>0</v>
      </c>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v>0</v>
      </c>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v>0</v>
      </c>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v>0</v>
      </c>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v>0</v>
      </c>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v>0</v>
      </c>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v>0</v>
      </c>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v>0</v>
      </c>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v>0</v>
      </c>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v>0</v>
      </c>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v>0</v>
      </c>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v>0</v>
      </c>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v>0</v>
      </c>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v>0</v>
      </c>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v>0</v>
      </c>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v>0</v>
      </c>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v>0</v>
      </c>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v>0</v>
      </c>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v>0</v>
      </c>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v>0</v>
      </c>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v>0</v>
      </c>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v>0</v>
      </c>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v>0</v>
      </c>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v>0</v>
      </c>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364928.56</v>
      </c>
      <c r="AD120" s="88">
        <f t="shared" si="26"/>
        <v>150475.9</v>
      </c>
      <c r="AE120" s="88">
        <f t="shared" si="26"/>
        <v>8747101.1699999999</v>
      </c>
      <c r="AF120" s="88">
        <f t="shared" si="26"/>
        <v>755282.5</v>
      </c>
      <c r="AG120" s="82">
        <f t="shared" ref="AG120:AG130" si="27">SUM(F120:AF120)</f>
        <v>153857810.92000002</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v>0</v>
      </c>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v>0</v>
      </c>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v>0</v>
      </c>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v>0</v>
      </c>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v>0</v>
      </c>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v>0</v>
      </c>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v>0</v>
      </c>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v>0</v>
      </c>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v>0</v>
      </c>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v>0</v>
      </c>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v>0</v>
      </c>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v>0</v>
      </c>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v>0</v>
      </c>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v>0</v>
      </c>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v>0</v>
      </c>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v>0</v>
      </c>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v>0</v>
      </c>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v>0</v>
      </c>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v>0</v>
      </c>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v>0</v>
      </c>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v>0</v>
      </c>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v>0</v>
      </c>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v>0</v>
      </c>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v>0</v>
      </c>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v>0</v>
      </c>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v>0</v>
      </c>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v>0</v>
      </c>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v>0</v>
      </c>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v>0</v>
      </c>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v>0</v>
      </c>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v>0</v>
      </c>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v>0</v>
      </c>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v>0</v>
      </c>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v>0</v>
      </c>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v>0</v>
      </c>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v>0</v>
      </c>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v>0</v>
      </c>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v>0</v>
      </c>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v>0</v>
      </c>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v>0</v>
      </c>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v>0</v>
      </c>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v>0</v>
      </c>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v>0</v>
      </c>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v>0</v>
      </c>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v>0</v>
      </c>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v>0</v>
      </c>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v>0</v>
      </c>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v>0</v>
      </c>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v>0</v>
      </c>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v>0</v>
      </c>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v>0</v>
      </c>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v>0</v>
      </c>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v>0</v>
      </c>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364928.56</v>
      </c>
      <c r="AD189" s="86">
        <f t="shared" si="41"/>
        <v>0</v>
      </c>
      <c r="AE189" s="86">
        <f t="shared" si="41"/>
        <v>464376.68</v>
      </c>
      <c r="AF189" s="86">
        <f t="shared" si="41"/>
        <v>465489.7</v>
      </c>
      <c r="AG189" s="86">
        <f t="shared" si="41"/>
        <v>101280940.32000001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v>0</v>
      </c>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v>0</v>
      </c>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v>0</v>
      </c>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v>0</v>
      </c>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v>0</v>
      </c>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v>0</v>
      </c>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v>0</v>
      </c>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v>0</v>
      </c>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v>0</v>
      </c>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364928.56</v>
      </c>
      <c r="AD215" s="84">
        <f t="shared" si="50"/>
        <v>0</v>
      </c>
      <c r="AE215" s="84">
        <f t="shared" si="50"/>
        <v>194376.68</v>
      </c>
      <c r="AF215" s="84">
        <f t="shared" si="50"/>
        <v>-30153.85</v>
      </c>
      <c r="AG215" s="84">
        <f>SUM(F215:AF215)</f>
        <v>7219220.79</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v>41371.699999999997</v>
      </c>
      <c r="AD216" s="4">
        <v>0</v>
      </c>
      <c r="AE216" s="4">
        <v>36333.32</v>
      </c>
      <c r="AF216" s="4">
        <v>-30153.85</v>
      </c>
      <c r="AG216" s="80">
        <f>SUM(F216:AF216)</f>
        <v>268846.52</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v>323556.86</v>
      </c>
      <c r="AD217" s="4">
        <v>0</v>
      </c>
      <c r="AE217" s="4">
        <v>158043.35999999999</v>
      </c>
      <c r="AF217" s="4">
        <v>0</v>
      </c>
      <c r="AG217" s="80">
        <f>SUM(F217:AF217)</f>
        <v>6950374.2700000005</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41371.699999999997</v>
      </c>
      <c r="AD221" s="4">
        <f t="shared" si="51"/>
        <v>0</v>
      </c>
      <c r="AE221" s="4">
        <f t="shared" si="51"/>
        <v>36333.32</v>
      </c>
      <c r="AF221" s="4">
        <f t="shared" si="51"/>
        <v>-30153.85</v>
      </c>
      <c r="AG221" s="4">
        <f t="shared" si="51"/>
        <v>268846.52</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41371.699999999997</v>
      </c>
      <c r="AD223" s="41">
        <f t="shared" si="52"/>
        <v>0</v>
      </c>
      <c r="AE223" s="41">
        <f>AE220+AE221</f>
        <v>36333.32</v>
      </c>
      <c r="AF223" s="41">
        <f t="shared" si="52"/>
        <v>-30153.85</v>
      </c>
      <c r="AG223" s="41">
        <f t="shared" si="52"/>
        <v>352492.29000000004</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26" workbookViewId="0">
      <selection activeCell="A3" sqref="A3:C60"/>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BG16" sqref="BG16"/>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BG16" sqref="BG16"/>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364928.56</v>
      </c>
      <c r="AA7" s="101">
        <f>'9.7 Syndicats Bilan'!AD5</f>
        <v>150475.90000000002</v>
      </c>
      <c r="AB7" s="101">
        <f>'9.7 Syndicats Bilan'!AE5</f>
        <v>590901.02</v>
      </c>
      <c r="AC7" s="101">
        <f>'9.7 Syndicats Bilan'!AF5</f>
        <v>751902.5</v>
      </c>
      <c r="AD7" s="101">
        <f>SUM(C7:AC7)</f>
        <v>33941280.61999999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G16" sqref="BG16"/>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823</v>
      </c>
    </row>
    <row r="5" spans="1:3" ht="15" customHeight="1" x14ac:dyDescent="0.25">
      <c r="C5" s="65"/>
    </row>
    <row r="6" spans="1:3" ht="15" customHeight="1" x14ac:dyDescent="0.25">
      <c r="C6" s="182" t="s">
        <v>202</v>
      </c>
    </row>
    <row r="7" spans="1:3" x14ac:dyDescent="0.25">
      <c r="A7" s="67">
        <v>10</v>
      </c>
      <c r="B7" s="67" t="s">
        <v>240</v>
      </c>
      <c r="C7" s="4">
        <f>HLOOKUP($B$4,'9.9 Syndicats endettement'!C6:AD23,2,0)</f>
        <v>364928.56</v>
      </c>
    </row>
    <row r="8" spans="1:3" x14ac:dyDescent="0.25">
      <c r="A8" s="67"/>
      <c r="B8" s="67"/>
      <c r="C8" s="4"/>
    </row>
    <row r="9" spans="1:3" x14ac:dyDescent="0.25">
      <c r="A9" s="67">
        <v>20</v>
      </c>
      <c r="B9" s="67" t="s">
        <v>252</v>
      </c>
      <c r="C9" s="4">
        <f>HLOOKUP($B$4,'9.9 Syndicats endettement'!$C$6:$AD$20,4,0)</f>
        <v>0</v>
      </c>
    </row>
    <row r="10" spans="1:3" x14ac:dyDescent="0.25">
      <c r="A10" s="67"/>
      <c r="B10" s="67"/>
      <c r="C10" s="4"/>
    </row>
    <row r="11" spans="1:3" x14ac:dyDescent="0.25">
      <c r="A11" s="67">
        <v>200</v>
      </c>
      <c r="B11" s="67" t="s">
        <v>451</v>
      </c>
      <c r="C11" s="4">
        <f>HLOOKUP($B$4,'9.9 Syndicats endettement'!$C$6:$AD$20,6,0)</f>
        <v>0</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0</v>
      </c>
    </row>
    <row r="21" spans="1:3" x14ac:dyDescent="0.25">
      <c r="B21" s="99" t="s">
        <v>498</v>
      </c>
      <c r="C21" s="100">
        <f>C20-C7</f>
        <v>-364928.56</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49</v>
      </c>
    </row>
    <row r="7" spans="1:5" x14ac:dyDescent="0.25">
      <c r="E7" s="65" t="s">
        <v>202</v>
      </c>
    </row>
    <row r="8" spans="1:5" ht="21" x14ac:dyDescent="0.35">
      <c r="A8" s="92">
        <v>3</v>
      </c>
      <c r="B8" s="92"/>
      <c r="C8" s="92"/>
      <c r="D8" s="92" t="s">
        <v>60</v>
      </c>
      <c r="E8" s="171">
        <f>HLOOKUP(D5,'4.1 Comptes 2021 natures'!$E$3:$BE$158,2,0)</f>
        <v>7247805.6699999999</v>
      </c>
    </row>
    <row r="9" spans="1:5" x14ac:dyDescent="0.25">
      <c r="A9" s="94"/>
      <c r="B9" s="94">
        <v>30</v>
      </c>
      <c r="C9" s="94"/>
      <c r="D9" s="94" t="s">
        <v>61</v>
      </c>
      <c r="E9" s="95">
        <f>HLOOKUP($D$5,'4.1 Comptes 2021 natures'!$E$3:$BE$158,3,0)</f>
        <v>859063.05</v>
      </c>
    </row>
    <row r="10" spans="1:5" x14ac:dyDescent="0.25">
      <c r="C10">
        <v>300</v>
      </c>
      <c r="D10" t="s">
        <v>80</v>
      </c>
      <c r="E10" s="89">
        <f>HLOOKUP($D$5,'4.1 Comptes 2021 natures'!$E$3:$BE$158,4,0)</f>
        <v>55190</v>
      </c>
    </row>
    <row r="11" spans="1:5" x14ac:dyDescent="0.25">
      <c r="C11">
        <v>301</v>
      </c>
      <c r="D11" t="s">
        <v>81</v>
      </c>
      <c r="E11" s="89">
        <f>HLOOKUP($D$5,'4.1 Comptes 2021 natures'!$E$3:$BE$158,5,0)</f>
        <v>654344.15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145209.1</v>
      </c>
    </row>
    <row r="16" spans="1:5" x14ac:dyDescent="0.25">
      <c r="C16">
        <v>306</v>
      </c>
      <c r="D16" t="s">
        <v>85</v>
      </c>
      <c r="E16" s="89">
        <f>HLOOKUP($D$5,'4.1 Comptes 2021 natures'!$E$3:$BE$158,10,0)</f>
        <v>0</v>
      </c>
    </row>
    <row r="17" spans="2:5" x14ac:dyDescent="0.25">
      <c r="C17">
        <v>309</v>
      </c>
      <c r="D17" t="s">
        <v>86</v>
      </c>
      <c r="E17" s="89">
        <f>HLOOKUP($D$5,'4.1 Comptes 2021 natures'!$E$3:$BE$158,11,0)</f>
        <v>4319.8</v>
      </c>
    </row>
    <row r="18" spans="2:5" x14ac:dyDescent="0.25">
      <c r="E18" s="4"/>
    </row>
    <row r="19" spans="2:5" x14ac:dyDescent="0.25">
      <c r="B19" s="94">
        <v>31</v>
      </c>
      <c r="C19" s="94"/>
      <c r="D19" s="94" t="s">
        <v>87</v>
      </c>
      <c r="E19" s="95">
        <f>SUM(E20:E29)</f>
        <v>1160379.23</v>
      </c>
    </row>
    <row r="20" spans="2:5" x14ac:dyDescent="0.25">
      <c r="C20">
        <v>310</v>
      </c>
      <c r="D20" t="s">
        <v>88</v>
      </c>
      <c r="E20" s="89">
        <f>HLOOKUP($D$5,'4.1 Comptes 2021 natures'!$E$3:$BE$158,14,0)</f>
        <v>75672.800000000003</v>
      </c>
    </row>
    <row r="21" spans="2:5" x14ac:dyDescent="0.25">
      <c r="C21">
        <v>311</v>
      </c>
      <c r="D21" t="s">
        <v>452</v>
      </c>
      <c r="E21" s="89">
        <f>HLOOKUP($D$5,'4.1 Comptes 2021 natures'!$E$3:$BE$158,15,0)</f>
        <v>80701.3</v>
      </c>
    </row>
    <row r="22" spans="2:5" x14ac:dyDescent="0.25">
      <c r="C22">
        <v>312</v>
      </c>
      <c r="D22" t="s">
        <v>90</v>
      </c>
      <c r="E22" s="89">
        <f>HLOOKUP($D$5,'4.1 Comptes 2021 natures'!$E$3:$BE$158,16,0)</f>
        <v>269781.65000000002</v>
      </c>
    </row>
    <row r="23" spans="2:5" x14ac:dyDescent="0.25">
      <c r="C23">
        <v>313</v>
      </c>
      <c r="D23" t="s">
        <v>91</v>
      </c>
      <c r="E23" s="89">
        <f>HLOOKUP($D$5,'4.1 Comptes 2021 natures'!$E$3:$BE$158,17,0)</f>
        <v>352709.8</v>
      </c>
    </row>
    <row r="24" spans="2:5" x14ac:dyDescent="0.25">
      <c r="C24">
        <v>314</v>
      </c>
      <c r="D24" t="s">
        <v>92</v>
      </c>
      <c r="E24" s="89">
        <f>HLOOKUP($D$5,'4.1 Comptes 2021 natures'!$E$3:$BE$158,18,0)</f>
        <v>190687.4</v>
      </c>
    </row>
    <row r="25" spans="2:5" x14ac:dyDescent="0.25">
      <c r="C25">
        <v>315</v>
      </c>
      <c r="D25" t="s">
        <v>93</v>
      </c>
      <c r="E25" s="89">
        <f>HLOOKUP($D$5,'4.1 Comptes 2021 natures'!$E$3:$BE$158,19,0)</f>
        <v>29540.1</v>
      </c>
    </row>
    <row r="26" spans="2:5" x14ac:dyDescent="0.25">
      <c r="C26">
        <v>316</v>
      </c>
      <c r="D26" t="s">
        <v>94</v>
      </c>
      <c r="E26" s="89">
        <f>HLOOKUP($D$5,'4.1 Comptes 2021 natures'!$E$3:$BE$158,20,0)</f>
        <v>33624.35</v>
      </c>
    </row>
    <row r="27" spans="2:5" x14ac:dyDescent="0.25">
      <c r="C27">
        <v>317</v>
      </c>
      <c r="D27" t="s">
        <v>95</v>
      </c>
      <c r="E27" s="89">
        <f>HLOOKUP($D$5,'4.1 Comptes 2021 natures'!$E$3:$BE$158,21,0)</f>
        <v>20093.849999999999</v>
      </c>
    </row>
    <row r="28" spans="2:5" x14ac:dyDescent="0.25">
      <c r="C28">
        <v>318</v>
      </c>
      <c r="D28" t="s">
        <v>96</v>
      </c>
      <c r="E28" s="89">
        <f>HLOOKUP($D$5,'4.1 Comptes 2021 natures'!$E$3:$BE$158,22,0)</f>
        <v>99589.08</v>
      </c>
    </row>
    <row r="29" spans="2:5" x14ac:dyDescent="0.25">
      <c r="C29">
        <v>319</v>
      </c>
      <c r="D29" t="s">
        <v>97</v>
      </c>
      <c r="E29" s="89">
        <f>HLOOKUP($D$5,'4.1 Comptes 2021 natures'!$E$3:$BE$158,23,0)</f>
        <v>7978.9</v>
      </c>
    </row>
    <row r="30" spans="2:5" x14ac:dyDescent="0.25">
      <c r="E30" s="4"/>
    </row>
    <row r="31" spans="2:5" x14ac:dyDescent="0.25">
      <c r="B31" s="94">
        <v>33</v>
      </c>
      <c r="C31" s="94"/>
      <c r="D31" s="94" t="s">
        <v>98</v>
      </c>
      <c r="E31" s="95">
        <f>SUM(E32:E33)</f>
        <v>583142</v>
      </c>
    </row>
    <row r="32" spans="2:5" x14ac:dyDescent="0.25">
      <c r="C32">
        <v>330</v>
      </c>
      <c r="D32" t="s">
        <v>100</v>
      </c>
      <c r="E32" s="89">
        <f>HLOOKUP($D$5,'4.1 Comptes 2021 natures'!$E$3:$BE$158,26,0)</f>
        <v>529017</v>
      </c>
    </row>
    <row r="33" spans="2:5" x14ac:dyDescent="0.25">
      <c r="C33">
        <v>332</v>
      </c>
      <c r="D33" t="s">
        <v>99</v>
      </c>
      <c r="E33" s="89">
        <f>HLOOKUP($D$5,'4.1 Comptes 2021 natures'!$E$3:$BE$158,27,0)</f>
        <v>54125</v>
      </c>
    </row>
    <row r="34" spans="2:5" x14ac:dyDescent="0.25">
      <c r="E34" s="4"/>
    </row>
    <row r="35" spans="2:5" x14ac:dyDescent="0.25">
      <c r="B35" s="94">
        <v>34</v>
      </c>
      <c r="C35" s="94"/>
      <c r="D35" s="94" t="s">
        <v>101</v>
      </c>
      <c r="E35" s="95">
        <f>SUM(E36:E41)</f>
        <v>324265.32999999996</v>
      </c>
    </row>
    <row r="36" spans="2:5" x14ac:dyDescent="0.25">
      <c r="C36">
        <v>340</v>
      </c>
      <c r="D36" t="s">
        <v>102</v>
      </c>
      <c r="E36" s="89">
        <f>HLOOKUP($D$5,'4.1 Comptes 2021 natures'!$E$3:$BE$158,30,0)</f>
        <v>306670.73</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17594.599999999999</v>
      </c>
    </row>
    <row r="40" spans="2:5" x14ac:dyDescent="0.25">
      <c r="C40">
        <v>344</v>
      </c>
      <c r="D40" t="s">
        <v>106</v>
      </c>
      <c r="E40" s="89">
        <f>HLOOKUP($D$5,'4.1 Comptes 2021 natures'!$E$3:$BE$158,34,0)</f>
        <v>0</v>
      </c>
    </row>
    <row r="41" spans="2:5" x14ac:dyDescent="0.25">
      <c r="C41">
        <v>349</v>
      </c>
      <c r="D41" t="s">
        <v>107</v>
      </c>
      <c r="E41" s="89">
        <f>HLOOKUP($D$5,'4.1 Comptes 2021 natures'!$E$3:$BE$158,35,0)</f>
        <v>0</v>
      </c>
    </row>
    <row r="42" spans="2:5" x14ac:dyDescent="0.25">
      <c r="E42" s="4"/>
    </row>
    <row r="43" spans="2:5" x14ac:dyDescent="0.25">
      <c r="B43" s="94">
        <v>35</v>
      </c>
      <c r="C43" s="94"/>
      <c r="D43" s="94" t="s">
        <v>109</v>
      </c>
      <c r="E43" s="95">
        <f>SUM(E44:E45)</f>
        <v>10462.5</v>
      </c>
    </row>
    <row r="44" spans="2:5" x14ac:dyDescent="0.25">
      <c r="C44">
        <v>350</v>
      </c>
      <c r="D44" t="s">
        <v>109</v>
      </c>
      <c r="E44" s="89">
        <f>HLOOKUP($D$5,'4.1 Comptes 2021 natures'!$E$3:$BE$158,38,0)</f>
        <v>0</v>
      </c>
    </row>
    <row r="45" spans="2:5" x14ac:dyDescent="0.25">
      <c r="C45">
        <v>351</v>
      </c>
      <c r="D45" t="s">
        <v>108</v>
      </c>
      <c r="E45" s="89">
        <f>HLOOKUP($D$5,'4.1 Comptes 2021 natures'!$E$3:$BE$158,39,0)</f>
        <v>10462.5</v>
      </c>
    </row>
    <row r="46" spans="2:5" x14ac:dyDescent="0.25">
      <c r="E46" s="4"/>
    </row>
    <row r="47" spans="2:5" x14ac:dyDescent="0.25">
      <c r="B47" s="94">
        <v>36</v>
      </c>
      <c r="C47" s="94"/>
      <c r="D47" s="94" t="s">
        <v>110</v>
      </c>
      <c r="E47" s="95">
        <f>SUM(E48:E55)</f>
        <v>4013802.46</v>
      </c>
    </row>
    <row r="48" spans="2:5" x14ac:dyDescent="0.25">
      <c r="C48">
        <v>360</v>
      </c>
      <c r="D48" t="s">
        <v>111</v>
      </c>
      <c r="E48" s="89">
        <f>HLOOKUP($D$5,'4.1 Comptes 2021 natures'!$E$3:$BE$158,42,0)</f>
        <v>5245</v>
      </c>
    </row>
    <row r="49" spans="2:5" x14ac:dyDescent="0.25">
      <c r="C49">
        <v>361</v>
      </c>
      <c r="D49" t="s">
        <v>112</v>
      </c>
      <c r="E49" s="89">
        <f>HLOOKUP($D$5,'4.1 Comptes 2021 natures'!$E$3:$BE$158,43,0)</f>
        <v>3020900.16</v>
      </c>
    </row>
    <row r="50" spans="2:5" x14ac:dyDescent="0.25">
      <c r="C50">
        <v>362</v>
      </c>
      <c r="D50" t="s">
        <v>113</v>
      </c>
      <c r="E50" s="89">
        <f>HLOOKUP($D$5,'4.1 Comptes 2021 natures'!$E$3:$BE$158,44,0)</f>
        <v>45951</v>
      </c>
    </row>
    <row r="51" spans="2:5" x14ac:dyDescent="0.25">
      <c r="C51">
        <v>363</v>
      </c>
      <c r="D51" t="s">
        <v>114</v>
      </c>
      <c r="E51" s="89">
        <f>HLOOKUP($D$5,'4.1 Comptes 2021 natures'!$E$3:$BE$158,45,0)</f>
        <v>928286.3</v>
      </c>
    </row>
    <row r="52" spans="2:5" x14ac:dyDescent="0.25">
      <c r="C52">
        <v>364</v>
      </c>
      <c r="D52" t="s">
        <v>115</v>
      </c>
      <c r="E52" s="89">
        <f>HLOOKUP($D$5,'4.1 Comptes 2021 natures'!$E$3:$BE$158,46,0)</f>
        <v>0</v>
      </c>
    </row>
    <row r="53" spans="2:5" x14ac:dyDescent="0.25">
      <c r="C53">
        <v>365</v>
      </c>
      <c r="D53" t="s">
        <v>116</v>
      </c>
      <c r="E53" s="89">
        <f>HLOOKUP($D$5,'4.1 Comptes 2021 natures'!$E$3:$BE$158,47,0)</f>
        <v>13420</v>
      </c>
    </row>
    <row r="54" spans="2:5" x14ac:dyDescent="0.25">
      <c r="C54">
        <v>366</v>
      </c>
      <c r="D54" t="s">
        <v>117</v>
      </c>
      <c r="E54" s="89">
        <f>HLOOKUP($D$5,'4.1 Comptes 2021 natures'!$E$3:$BE$158,48,0)</f>
        <v>0</v>
      </c>
    </row>
    <row r="55" spans="2:5" x14ac:dyDescent="0.25">
      <c r="C55">
        <v>369</v>
      </c>
      <c r="D55" t="s">
        <v>118</v>
      </c>
      <c r="E55" s="89">
        <f>HLOOKUP($D$5,'4.1 Comptes 2021 natures'!$E$3:$BE$158,49,0)</f>
        <v>0</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200000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200000</v>
      </c>
    </row>
    <row r="67" spans="1:5" x14ac:dyDescent="0.25">
      <c r="E67" s="4"/>
    </row>
    <row r="68" spans="1:5" x14ac:dyDescent="0.25">
      <c r="B68" s="94">
        <v>39</v>
      </c>
      <c r="C68" s="94"/>
      <c r="D68" s="94" t="s">
        <v>128</v>
      </c>
      <c r="E68" s="95">
        <f>SUM(E69:E76)</f>
        <v>96691.1</v>
      </c>
    </row>
    <row r="69" spans="1:5" x14ac:dyDescent="0.25">
      <c r="C69">
        <v>390</v>
      </c>
      <c r="D69" t="s">
        <v>129</v>
      </c>
      <c r="E69" s="89">
        <f>HLOOKUP($D$5,'4.1 Comptes 2021 natures'!$E$3:$BE$158,63,0)</f>
        <v>0</v>
      </c>
    </row>
    <row r="70" spans="1:5" x14ac:dyDescent="0.25">
      <c r="C70">
        <v>391</v>
      </c>
      <c r="D70" t="s">
        <v>130</v>
      </c>
      <c r="E70" s="89">
        <f>HLOOKUP($D$5,'4.1 Comptes 2021 natures'!$E$3:$BE$158,64,0)</f>
        <v>95691.1</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1000</v>
      </c>
    </row>
    <row r="77" spans="1:5" x14ac:dyDescent="0.25">
      <c r="E77" s="4"/>
    </row>
    <row r="78" spans="1:5" x14ac:dyDescent="0.25">
      <c r="E78" s="4"/>
    </row>
    <row r="79" spans="1:5" ht="21" x14ac:dyDescent="0.35">
      <c r="A79" s="98">
        <v>4</v>
      </c>
      <c r="B79" s="98"/>
      <c r="C79" s="98"/>
      <c r="D79" s="98" t="s">
        <v>137</v>
      </c>
      <c r="E79" s="172">
        <f>HLOOKUP($D$5,'4.1 Comptes 2021 natures'!$E$3:$BE$158,73,0)</f>
        <v>7307683.0099999998</v>
      </c>
    </row>
    <row r="80" spans="1:5" x14ac:dyDescent="0.25">
      <c r="A80" s="7"/>
      <c r="B80" s="96">
        <v>40</v>
      </c>
      <c r="C80" s="96"/>
      <c r="D80" s="96" t="s">
        <v>79</v>
      </c>
      <c r="E80" s="91">
        <f>SUM(E81:E84)</f>
        <v>5064301.16</v>
      </c>
    </row>
    <row r="81" spans="2:5" x14ac:dyDescent="0.25">
      <c r="C81">
        <v>400</v>
      </c>
      <c r="D81" t="s">
        <v>138</v>
      </c>
      <c r="E81" s="89">
        <f>HLOOKUP($D$5,'4.1 Comptes 2021 natures'!$E$3:$BE$158,75,0)</f>
        <v>4221312.49</v>
      </c>
    </row>
    <row r="82" spans="2:5" x14ac:dyDescent="0.25">
      <c r="C82">
        <v>401</v>
      </c>
      <c r="D82" t="s">
        <v>139</v>
      </c>
      <c r="E82" s="89">
        <f>HLOOKUP($D$5,'4.1 Comptes 2021 natures'!$E$3:$BE$158,76,0)</f>
        <v>310800.92</v>
      </c>
    </row>
    <row r="83" spans="2:5" x14ac:dyDescent="0.25">
      <c r="C83">
        <v>402</v>
      </c>
      <c r="D83" t="s">
        <v>140</v>
      </c>
      <c r="E83" s="89">
        <f>HLOOKUP($D$5,'4.1 Comptes 2021 natures'!$E$3:$BE$158,77,0)</f>
        <v>509536.15</v>
      </c>
    </row>
    <row r="84" spans="2:5" x14ac:dyDescent="0.25">
      <c r="C84">
        <v>403</v>
      </c>
      <c r="D84" t="s">
        <v>141</v>
      </c>
      <c r="E84" s="89">
        <f>HLOOKUP($D$5,'4.1 Comptes 2021 natures'!$E$3:$BE$158,78,0)</f>
        <v>22651.599999999999</v>
      </c>
    </row>
    <row r="85" spans="2:5" x14ac:dyDescent="0.25">
      <c r="E85" s="4"/>
    </row>
    <row r="86" spans="2:5" x14ac:dyDescent="0.25">
      <c r="B86" s="96">
        <v>41</v>
      </c>
      <c r="C86" s="96"/>
      <c r="D86" s="96" t="s">
        <v>142</v>
      </c>
      <c r="E86" s="91">
        <f>SUM(E87:E90)</f>
        <v>5731.2</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5731.2</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933039.1</v>
      </c>
    </row>
    <row r="93" spans="2:5" x14ac:dyDescent="0.25">
      <c r="C93">
        <v>420</v>
      </c>
      <c r="D93" t="s">
        <v>148</v>
      </c>
      <c r="E93" s="89">
        <f>HLOOKUP($D$5,'4.1 Comptes 2021 natures'!$E$3:$BE$158,87,0)</f>
        <v>53882.05</v>
      </c>
    </row>
    <row r="94" spans="2:5" x14ac:dyDescent="0.25">
      <c r="C94">
        <v>421</v>
      </c>
      <c r="D94" t="s">
        <v>149</v>
      </c>
      <c r="E94" s="89">
        <f>HLOOKUP($D$5,'4.1 Comptes 2021 natures'!$E$3:$BE$158,88,0)</f>
        <v>30118.2</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767937.6</v>
      </c>
    </row>
    <row r="98" spans="2:5" x14ac:dyDescent="0.25">
      <c r="C98">
        <v>425</v>
      </c>
      <c r="D98" t="s">
        <v>153</v>
      </c>
      <c r="E98" s="89">
        <f>HLOOKUP($D$5,'4.1 Comptes 2021 natures'!$E$3:$BE$158,92,0)</f>
        <v>9668.15</v>
      </c>
    </row>
    <row r="99" spans="2:5" x14ac:dyDescent="0.25">
      <c r="C99">
        <v>426</v>
      </c>
      <c r="D99" t="s">
        <v>154</v>
      </c>
      <c r="E99" s="89">
        <f>HLOOKUP($D$5,'4.1 Comptes 2021 natures'!$E$3:$BE$158,93,0)</f>
        <v>70833.100000000006</v>
      </c>
    </row>
    <row r="100" spans="2:5" x14ac:dyDescent="0.25">
      <c r="C100">
        <v>427</v>
      </c>
      <c r="D100" t="s">
        <v>155</v>
      </c>
      <c r="E100" s="89">
        <f>HLOOKUP($D$5,'4.1 Comptes 2021 natures'!$E$3:$BE$158,94,0)</f>
        <v>600</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179451.9</v>
      </c>
    </row>
    <row r="110" spans="2:5" x14ac:dyDescent="0.25">
      <c r="C110">
        <v>440</v>
      </c>
      <c r="D110" t="s">
        <v>163</v>
      </c>
      <c r="E110" s="89">
        <f>HLOOKUP($D$5,'4.1 Comptes 2021 natures'!$E$3:$BE$158,104,0)</f>
        <v>42596.1</v>
      </c>
    </row>
    <row r="111" spans="2:5" x14ac:dyDescent="0.25">
      <c r="C111">
        <v>441</v>
      </c>
      <c r="D111" t="s">
        <v>164</v>
      </c>
      <c r="E111" s="89">
        <f>HLOOKUP($D$5,'4.1 Comptes 2021 natures'!$E$3:$BE$158,105,0)</f>
        <v>0</v>
      </c>
    </row>
    <row r="112" spans="2:5" x14ac:dyDescent="0.25">
      <c r="C112">
        <v>442</v>
      </c>
      <c r="D112" t="s">
        <v>165</v>
      </c>
      <c r="E112" s="89">
        <f>HLOOKUP($D$5,'4.1 Comptes 2021 natures'!$E$3:$BE$158,106,0)</f>
        <v>0</v>
      </c>
    </row>
    <row r="113" spans="2:5" x14ac:dyDescent="0.25">
      <c r="C113">
        <v>443</v>
      </c>
      <c r="D113" t="s">
        <v>166</v>
      </c>
      <c r="E113" s="89">
        <f>HLOOKUP($D$5,'4.1 Comptes 2021 natures'!$E$3:$BE$158,107,0)</f>
        <v>70198.3</v>
      </c>
    </row>
    <row r="114" spans="2:5" x14ac:dyDescent="0.25">
      <c r="C114">
        <v>444</v>
      </c>
      <c r="D114" t="s">
        <v>106</v>
      </c>
      <c r="E114" s="89">
        <f>HLOOKUP($D$5,'4.1 Comptes 2021 natures'!$E$3:$BE$158,108,0)</f>
        <v>19325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47332.5</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4606.45</v>
      </c>
    </row>
    <row r="122" spans="2:5" x14ac:dyDescent="0.25">
      <c r="C122">
        <v>450</v>
      </c>
      <c r="D122" t="s">
        <v>172</v>
      </c>
      <c r="E122" s="89">
        <f>HLOOKUP($D$5,'4.1 Comptes 2021 natures'!$E$3:$BE$158,116,0)</f>
        <v>4186.45</v>
      </c>
    </row>
    <row r="123" spans="2:5" x14ac:dyDescent="0.25">
      <c r="C123">
        <v>451</v>
      </c>
      <c r="D123" t="s">
        <v>173</v>
      </c>
      <c r="E123" s="89">
        <f>HLOOKUP($D$5,'4.1 Comptes 2021 natures'!$E$3:$BE$158,117,0)</f>
        <v>420</v>
      </c>
    </row>
    <row r="124" spans="2:5" x14ac:dyDescent="0.25">
      <c r="E124" s="4"/>
    </row>
    <row r="125" spans="2:5" x14ac:dyDescent="0.25">
      <c r="B125" s="96">
        <v>46</v>
      </c>
      <c r="C125" s="96"/>
      <c r="D125" s="96" t="s">
        <v>175</v>
      </c>
      <c r="E125" s="91">
        <f>SUM(E126:E130)</f>
        <v>1023862.1</v>
      </c>
    </row>
    <row r="126" spans="2:5" x14ac:dyDescent="0.25">
      <c r="C126">
        <v>460</v>
      </c>
      <c r="D126" t="s">
        <v>176</v>
      </c>
      <c r="E126" s="89">
        <f>HLOOKUP($D$5,'4.1 Comptes 2021 natures'!$E$3:$BE$158,120,0)</f>
        <v>7904</v>
      </c>
    </row>
    <row r="127" spans="2:5" x14ac:dyDescent="0.25">
      <c r="C127">
        <v>461</v>
      </c>
      <c r="D127" t="s">
        <v>177</v>
      </c>
      <c r="E127" s="89">
        <f>HLOOKUP($D$5,'4.1 Comptes 2021 natures'!$E$3:$BE$158,121,0)</f>
        <v>426508.7</v>
      </c>
    </row>
    <row r="128" spans="2:5" x14ac:dyDescent="0.25">
      <c r="C128">
        <v>462</v>
      </c>
      <c r="D128" t="s">
        <v>113</v>
      </c>
      <c r="E128" s="89">
        <f>HLOOKUP($D$5,'4.1 Comptes 2021 natures'!$E$3:$BE$158,122,0)</f>
        <v>493047</v>
      </c>
    </row>
    <row r="129" spans="2:5" x14ac:dyDescent="0.25">
      <c r="C129">
        <v>463</v>
      </c>
      <c r="D129" t="s">
        <v>178</v>
      </c>
      <c r="E129" s="89">
        <f>HLOOKUP($D$5,'4.1 Comptes 2021 natures'!$E$3:$BE$158,123,0)</f>
        <v>96189.8</v>
      </c>
    </row>
    <row r="130" spans="2:5" x14ac:dyDescent="0.25">
      <c r="C130">
        <v>469</v>
      </c>
      <c r="D130" t="s">
        <v>179</v>
      </c>
      <c r="E130" s="89">
        <f>HLOOKUP($D$5,'4.1 Comptes 2021 natures'!$E$3:$BE$158,124,0)</f>
        <v>212.6</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96691.1</v>
      </c>
    </row>
    <row r="145" spans="1:5" x14ac:dyDescent="0.25">
      <c r="C145">
        <v>490</v>
      </c>
      <c r="D145" t="s">
        <v>129</v>
      </c>
      <c r="E145" s="89">
        <f>HLOOKUP($D$5,'4.1 Comptes 2021 natures'!$E$3:$BE$158,139,0)</f>
        <v>0</v>
      </c>
    </row>
    <row r="146" spans="1:5" x14ac:dyDescent="0.25">
      <c r="C146">
        <v>491</v>
      </c>
      <c r="D146" t="s">
        <v>130</v>
      </c>
      <c r="E146" s="89">
        <f>HLOOKUP($D$5,'4.1 Comptes 2021 natures'!$E$3:$BE$158,140,0)</f>
        <v>95691.1</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1000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59877.34</v>
      </c>
    </row>
    <row r="158" spans="1:5" x14ac:dyDescent="0.25">
      <c r="C158">
        <v>900</v>
      </c>
      <c r="D158" t="s">
        <v>196</v>
      </c>
      <c r="E158" s="89">
        <f>HLOOKUP($D$5,'4.1 Comptes 2021 natures'!$E$3:$BE$158,152,0)</f>
        <v>42035.89</v>
      </c>
    </row>
    <row r="159" spans="1:5" x14ac:dyDescent="0.25">
      <c r="C159">
        <v>901</v>
      </c>
      <c r="D159" t="s">
        <v>197</v>
      </c>
      <c r="E159" s="89">
        <f>HLOOKUP($D$5,'4.1 Comptes 2021 natures'!$E$3:$BE$158,153,0)</f>
        <v>17841.45</v>
      </c>
    </row>
    <row r="160" spans="1:5" x14ac:dyDescent="0.25">
      <c r="E160" s="4"/>
    </row>
    <row r="161" spans="4:5" x14ac:dyDescent="0.25">
      <c r="D161" s="7" t="s">
        <v>198</v>
      </c>
      <c r="E161" s="80">
        <f>HLOOKUP($D$5,'4.1 Comptes 2021 natures'!$E$3:$BE$158,155,0)</f>
        <v>59877.34</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E64" activePane="bottomRight" state="frozen"/>
      <selection pane="topRight" activeCell="E1" sqref="E1"/>
      <selection pane="bottomLeft" activeCell="A4" sqref="A4"/>
      <selection pane="bottomRight" activeCell="L78" sqref="L7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5.4.1b Graphique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2023-06-21T09:19:03Z</cp:lastPrinted>
  <dcterms:created xsi:type="dcterms:W3CDTF">2015-10-26T07:38:03Z</dcterms:created>
  <dcterms:modified xsi:type="dcterms:W3CDTF">2023-06-28T08:30:50Z</dcterms:modified>
</cp:coreProperties>
</file>