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42" activeTab="42"/>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state="hidden" r:id="rId39"/>
    <sheet name="Comptes 2022 par Bourgeoisie" sheetId="56" state="hidden" r:id="rId40"/>
    <sheet name="Bourgeoisie vue d'ensemble" sheetId="57" state="hidden" r:id="rId41"/>
    <sheet name="Vue d'ensemble par Bourgeoisie" sheetId="58" state="hidden" r:id="rId42"/>
    <sheet name="Bourgeoisie résultats 3 niveaux" sheetId="59" r:id="rId43"/>
    <sheet name="Résultats 3 nivaux par Bourgeoi" sheetId="60" state="hidden" r:id="rId44"/>
    <sheet name="Bourgeoisie autofinancement" sheetId="61" state="hidden" r:id="rId45"/>
    <sheet name="Autofinancement par Bourgeoisie" sheetId="62" state="hidden" r:id="rId46"/>
    <sheet name="Bourgeoisie bilan" sheetId="63" state="hidden" r:id="rId47"/>
    <sheet name="Bilan par bourgeoisie" sheetId="64" state="hidden" r:id="rId48"/>
    <sheet name="Bourgeoisie endettement" sheetId="65" state="hidden" r:id="rId49"/>
    <sheet name="Endettement par bourgeoisie" sheetId="66" state="hidden" r:id="rId50"/>
    <sheet name="Bourgeoisie investissement" sheetId="67" state="hidden" r:id="rId51"/>
    <sheet name="Investissement par bourgeoisie" sheetId="68" state="hidden" r:id="rId52"/>
    <sheet name="Syndicats comptes 2022" sheetId="69" state="hidden" r:id="rId53"/>
    <sheet name="Comptes 2022 par Syndicats" sheetId="70" state="hidden" r:id="rId54"/>
    <sheet name="Syndicats vue d'ensemble" sheetId="71" state="hidden" r:id="rId55"/>
    <sheet name="Vue d'ensemble par syndicat" sheetId="72" state="hidden" r:id="rId56"/>
    <sheet name="Syndicats résultat à 3 niveaux" sheetId="73" state="hidden" r:id="rId57"/>
    <sheet name="Résultat 3 niveaux par syndicat" sheetId="74" state="hidden" r:id="rId58"/>
    <sheet name="Syndicats Bilan" sheetId="75" state="hidden" r:id="rId59"/>
    <sheet name="Bilan par Syndicats" sheetId="76" state="hidden" r:id="rId60"/>
    <sheet name="Syndicats endettement" sheetId="77" state="hidden" r:id="rId61"/>
    <sheet name="Endettement par syndicat" sheetId="78" state="hidden"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32" i="32" l="1"/>
  <c r="AZ31" i="32"/>
  <c r="AZ29" i="32"/>
  <c r="U18" i="84" l="1"/>
  <c r="U4" i="84"/>
  <c r="U14" i="84"/>
  <c r="U13" i="84"/>
  <c r="U12" i="84"/>
  <c r="U11" i="84"/>
  <c r="T16" i="84"/>
  <c r="U8" i="84"/>
  <c r="T8" i="84"/>
  <c r="U7" i="84"/>
  <c r="U6" i="84"/>
  <c r="U5" i="84"/>
  <c r="U3" i="84"/>
  <c r="Q58" i="84"/>
  <c r="Q57" i="84"/>
  <c r="P58" i="84"/>
  <c r="P57" i="84"/>
  <c r="O58"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<sst xmlns="http://schemas.openxmlformats.org/spreadsheetml/2006/main" count="5640" uniqueCount="882">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</sst>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70"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Y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f>AZ10</f>
        <v>11179720.809999999</v>
      </c>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v>3500000</v>
      </c>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f>AZ29+AZ30</f>
        <v>14679720.809999999</v>
      </c>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f>AZ31/AZ6</f>
        <v>13954.107233840303</v>
      </c>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D3" sqref="D3"/>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871</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879</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874</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875</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876</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877</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878</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880</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874</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875</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876</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877</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878</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881</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v>11995.312136752136</v>
      </c>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-1763.9664102564111</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872</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873</v>
      </c>
      <c r="N58" s="215">
        <f>N3+N4+N5+N6+N8+N9+N12+N14+N15+N20+N21+N22+N23+N24+N30+N31+N32+N33+N34+N35+N36+N38+N39+N42+N43+N48+N50+N53+N55</f>
        <v>-12715920.810000002</v>
      </c>
      <c r="O58" s="215">
        <f>O3+O4+O5+O6+O8+O9++O12+O14+O15+O17+O18+O20+O21+O22+O23+O24+O30+O31+O32+O33+O34+O35+O36+O38+O39+O42+O47+O48+O50+O53</f>
        <v>-13959.666257758387</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L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3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B16" sqref="B16"/>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B16" sqref="B16"/>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28</v>
      </c>
    </row>
    <row r="9" spans="1:3" ht="15" x14ac:dyDescent="0.25">
      <c r="A9" s="100" t="s">
        <v>215</v>
      </c>
      <c r="B9" s="100" t="s">
        <v>200</v>
      </c>
      <c r="C9" s="100" t="s">
        <v>852</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tabSelected="1" workbookViewId="0">
      <selection activeCell="C31" sqref="C31"/>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B16" sqref="B16"/>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B16" sqref="B16"/>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B16" sqref="B16"/>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28</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B16" sqref="B16"/>
      <selection pane="topRight" activeCell="B16" sqref="B16"/>
      <selection pane="bottomLeft" activeCell="B16" sqref="B16"/>
      <selection pane="bottomRight" activeCell="B16" sqref="B16"/>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B16" sqref="B16"/>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J8" activePane="bottomRight" state="frozen"/>
      <selection activeCell="B16" sqref="B16"/>
      <selection pane="topRight" activeCell="B16" sqref="B16"/>
      <selection pane="bottomLeft" activeCell="B16" sqref="B16"/>
      <selection pane="bottomRight" activeCell="B16" sqref="B16"/>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16" sqref="B16"/>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B16" sqref="B16"/>
      <selection pane="topRight" activeCell="B16" sqref="B16"/>
      <selection pane="bottomLeft" activeCell="B16" sqref="B16"/>
      <selection pane="bottomRight" activeCell="B16" sqref="B16"/>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B16" sqref="B16"/>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W134" activePane="bottomRight" state="frozen"/>
      <selection activeCell="B16" sqref="B16"/>
      <selection pane="topRight" activeCell="B16" sqref="B16"/>
      <selection pane="bottomLeft" activeCell="B16" sqref="B16"/>
      <selection pane="bottomRight" activeCell="B16" sqref="B16"/>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35375768.979999997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5574042.7400000012</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89789</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16090137.869999999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7251791.2399999993</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6008752.6399999997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5987570.79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35991670.730000012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14959436.990000002</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14255951.400000002</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32158129.799999997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32819040.750000004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B16" sqref="B16"/>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803</v>
      </c>
    </row>
    <row r="7" spans="1:5" ht="15" x14ac:dyDescent="0.25">
      <c r="E7" s="33" t="s">
        <v>201</v>
      </c>
    </row>
    <row r="8" spans="1:5" ht="20.25" x14ac:dyDescent="0.3">
      <c r="A8" s="11">
        <v>3</v>
      </c>
      <c r="B8" s="11"/>
      <c r="C8" s="11"/>
      <c r="D8" s="11" t="s">
        <v>60</v>
      </c>
      <c r="E8" s="97">
        <f>HLOOKUP($D$5,'Syndicats comptes 2022'!$E$4:$AF$168,2,0)</f>
        <v>45959.4</v>
      </c>
    </row>
    <row r="9" spans="1:5" ht="15" x14ac:dyDescent="0.25">
      <c r="A9" s="79"/>
      <c r="B9" s="79">
        <v>30</v>
      </c>
      <c r="C9" s="79"/>
      <c r="D9" s="79" t="s">
        <v>61</v>
      </c>
      <c r="E9" s="80">
        <f>HLOOKUP($D$5,'Syndicats comptes 2022'!$E$4:$AF$168,3,0)</f>
        <v>45777.4</v>
      </c>
    </row>
    <row r="10" spans="1:5" x14ac:dyDescent="0.2">
      <c r="C10" s="8">
        <v>300</v>
      </c>
      <c r="D10" s="8" t="s">
        <v>80</v>
      </c>
      <c r="E10" s="13">
        <f>HLOOKUP($D$5,'Syndicats comptes 2022'!$E$4:$AF$168,4,0)</f>
        <v>4150</v>
      </c>
    </row>
    <row r="11" spans="1:5" x14ac:dyDescent="0.2">
      <c r="C11" s="8">
        <v>301</v>
      </c>
      <c r="D11" s="8" t="s">
        <v>81</v>
      </c>
      <c r="E11" s="13">
        <f>HLOOKUP($D$5,'Syndicats comptes 2022'!$E$4:$AF$168,5,0)</f>
        <v>33582.870000000003</v>
      </c>
    </row>
    <row r="12" spans="1:5" x14ac:dyDescent="0.2">
      <c r="C12" s="8">
        <v>302</v>
      </c>
      <c r="D12" s="8" t="s">
        <v>82</v>
      </c>
      <c r="E12" s="13">
        <f>HLOOKUP($D$5,'Syndicats comptes 2022'!$E$4:$AF$168,6,0)</f>
        <v>0</v>
      </c>
    </row>
    <row r="13" spans="1:5" x14ac:dyDescent="0.2">
      <c r="C13" s="8">
        <v>303</v>
      </c>
      <c r="D13" s="8" t="s">
        <v>83</v>
      </c>
      <c r="E13" s="13">
        <f>HLOOKUP($D$5,'Syndicats comptes 2022'!$E$4:$AF$168,7,0)</f>
        <v>0</v>
      </c>
    </row>
    <row r="14" spans="1:5" x14ac:dyDescent="0.2">
      <c r="C14" s="8">
        <v>304</v>
      </c>
      <c r="D14" s="8" t="s">
        <v>578</v>
      </c>
      <c r="E14" s="13">
        <f>HLOOKUP($D$5,'Syndicats comptes 2022'!$E$4:$AF$168,8,0)</f>
        <v>0</v>
      </c>
    </row>
    <row r="15" spans="1:5" x14ac:dyDescent="0.2">
      <c r="C15" s="8">
        <v>305</v>
      </c>
      <c r="D15" s="8" t="s">
        <v>84</v>
      </c>
      <c r="E15" s="13">
        <f>HLOOKUP($D$5,'Syndicats comptes 2022'!$E$4:$AF$168,9,0)</f>
        <v>6085.18</v>
      </c>
    </row>
    <row r="16" spans="1:5" x14ac:dyDescent="0.2">
      <c r="C16" s="8">
        <v>306</v>
      </c>
      <c r="D16" s="8" t="s">
        <v>85</v>
      </c>
      <c r="E16" s="13">
        <f>HLOOKUP($D$5,'Syndicats comptes 2022'!$E$4:$AF$168,10,0)</f>
        <v>0</v>
      </c>
    </row>
    <row r="17" spans="2:5" x14ac:dyDescent="0.2">
      <c r="C17" s="8">
        <v>309</v>
      </c>
      <c r="D17" s="8" t="s">
        <v>86</v>
      </c>
      <c r="E17" s="13">
        <f>HLOOKUP($D$5,'Syndicats comptes 2022'!$E$4:$AF$168,11,0)</f>
        <v>1959.35</v>
      </c>
    </row>
    <row r="18" spans="2:5" x14ac:dyDescent="0.2">
      <c r="E18" s="13"/>
    </row>
    <row r="19" spans="2:5" ht="15" x14ac:dyDescent="0.25">
      <c r="B19" s="79">
        <v>31</v>
      </c>
      <c r="C19" s="79"/>
      <c r="D19" s="79" t="s">
        <v>87</v>
      </c>
      <c r="E19" s="80">
        <f>HLOOKUP($D$5,'Syndicats comptes 2022'!$E$4:$AF$168,13,0)</f>
        <v>182</v>
      </c>
    </row>
    <row r="20" spans="2:5" x14ac:dyDescent="0.2">
      <c r="C20" s="8">
        <v>310</v>
      </c>
      <c r="D20" s="8" t="s">
        <v>88</v>
      </c>
      <c r="E20" s="13">
        <f>HLOOKUP($D$5,'Syndicats comptes 2022'!$E$4:$AF$168,14,0)</f>
        <v>0</v>
      </c>
    </row>
    <row r="21" spans="2:5" x14ac:dyDescent="0.2">
      <c r="C21" s="8">
        <v>311</v>
      </c>
      <c r="D21" s="8" t="s">
        <v>449</v>
      </c>
      <c r="E21" s="13">
        <f>HLOOKUP($D$5,'Syndicats comptes 2022'!$E$4:$AF$168,15,0)</f>
        <v>0</v>
      </c>
    </row>
    <row r="22" spans="2:5" x14ac:dyDescent="0.2">
      <c r="C22" s="8">
        <v>312</v>
      </c>
      <c r="D22" s="8" t="s">
        <v>90</v>
      </c>
      <c r="E22" s="13">
        <f>HLOOKUP($D$5,'Syndicats comptes 2022'!$E$4:$AF$168,16,0)</f>
        <v>0</v>
      </c>
    </row>
    <row r="23" spans="2:5" x14ac:dyDescent="0.2">
      <c r="C23" s="8">
        <v>313</v>
      </c>
      <c r="D23" s="8" t="s">
        <v>91</v>
      </c>
      <c r="E23" s="13">
        <f>HLOOKUP($D$5,'Syndicats comptes 2022'!$E$4:$AF$168,17,0)</f>
        <v>182</v>
      </c>
    </row>
    <row r="24" spans="2:5" x14ac:dyDescent="0.2">
      <c r="C24" s="8">
        <v>314</v>
      </c>
      <c r="D24" s="8" t="s">
        <v>841</v>
      </c>
      <c r="E24" s="13">
        <f>HLOOKUP($D$5,'Syndicats comptes 2022'!$E$4:$AF$168,18,0)</f>
        <v>0</v>
      </c>
    </row>
    <row r="25" spans="2:5" x14ac:dyDescent="0.2">
      <c r="C25" s="8">
        <v>315</v>
      </c>
      <c r="D25" s="8" t="s">
        <v>92</v>
      </c>
      <c r="E25" s="13">
        <f>HLOOKUP($D$5,'Syndicats comptes 2022'!$E$4:$AF$168,19,0)</f>
        <v>0</v>
      </c>
    </row>
    <row r="26" spans="2:5" x14ac:dyDescent="0.2">
      <c r="C26" s="8">
        <v>316</v>
      </c>
      <c r="D26" s="8" t="s">
        <v>93</v>
      </c>
      <c r="E26" s="13">
        <f>HLOOKUP($D$5,'Syndicats comptes 2022'!$E$4:$AF$168,20,0)</f>
        <v>0</v>
      </c>
    </row>
    <row r="27" spans="2:5" x14ac:dyDescent="0.2">
      <c r="C27" s="8">
        <v>317</v>
      </c>
      <c r="D27" s="8" t="s">
        <v>94</v>
      </c>
      <c r="E27" s="13">
        <f>HLOOKUP($D$5,'Syndicats comptes 2022'!$E$4:$AF$168,21,0)</f>
        <v>0</v>
      </c>
    </row>
    <row r="28" spans="2:5" x14ac:dyDescent="0.2">
      <c r="C28" s="8">
        <v>318</v>
      </c>
      <c r="D28" s="8" t="s">
        <v>95</v>
      </c>
      <c r="E28" s="13">
        <f>HLOOKUP($D$5,'Syndicats comptes 2022'!$E$4:$AF$168,22,0)</f>
        <v>0</v>
      </c>
    </row>
    <row r="29" spans="2:5" x14ac:dyDescent="0.2">
      <c r="C29" s="8">
        <v>319</v>
      </c>
      <c r="D29" s="8" t="s">
        <v>96</v>
      </c>
      <c r="E29" s="13">
        <f>HLOOKUP($D$5,'Syndicats comptes 2022'!$E$4:$AF$168,23,0)</f>
        <v>0</v>
      </c>
    </row>
    <row r="30" spans="2:5" x14ac:dyDescent="0.2">
      <c r="E30" s="13"/>
    </row>
    <row r="31" spans="2:5" ht="15" x14ac:dyDescent="0.25">
      <c r="B31" s="79">
        <v>33</v>
      </c>
      <c r="C31" s="79"/>
      <c r="D31" s="79" t="s">
        <v>97</v>
      </c>
      <c r="E31" s="80">
        <f>HLOOKUP($D$5,'Syndicats comptes 2022'!$E$4:$AF$168,25,0)</f>
        <v>0</v>
      </c>
    </row>
    <row r="32" spans="2:5" x14ac:dyDescent="0.2">
      <c r="C32" s="8">
        <v>330</v>
      </c>
      <c r="D32" s="8" t="s">
        <v>99</v>
      </c>
      <c r="E32" s="13">
        <f>HLOOKUP($D$5,'Syndicats comptes 2022'!$E$4:$AF$168,26,0)</f>
        <v>0</v>
      </c>
    </row>
    <row r="33" spans="2:5" x14ac:dyDescent="0.2">
      <c r="C33" s="8">
        <v>332</v>
      </c>
      <c r="D33" s="8" t="s">
        <v>98</v>
      </c>
      <c r="E33" s="13">
        <f>HLOOKUP($D$5,'Syndicats comptes 2022'!$E$4:$AF$168,27,0)</f>
        <v>0</v>
      </c>
    </row>
    <row r="34" spans="2:5" x14ac:dyDescent="0.2">
      <c r="E34" s="13"/>
    </row>
    <row r="35" spans="2:5" ht="15" x14ac:dyDescent="0.25">
      <c r="B35" s="79">
        <v>34</v>
      </c>
      <c r="C35" s="79"/>
      <c r="D35" s="79" t="s">
        <v>100</v>
      </c>
      <c r="E35" s="80">
        <f>HLOOKUP($D$5,'Syndicats comptes 2022'!$E$4:$AF$168,29,0)</f>
        <v>0</v>
      </c>
    </row>
    <row r="36" spans="2:5" x14ac:dyDescent="0.2">
      <c r="C36" s="8">
        <v>340</v>
      </c>
      <c r="D36" s="8" t="s">
        <v>101</v>
      </c>
      <c r="E36" s="13">
        <f>HLOOKUP($D$5,'Syndicats comptes 2022'!$E$4:$AF$168,30,0)</f>
        <v>0</v>
      </c>
    </row>
    <row r="37" spans="2:5" x14ac:dyDescent="0.2">
      <c r="C37" s="8">
        <v>341</v>
      </c>
      <c r="D37" s="8" t="s">
        <v>102</v>
      </c>
      <c r="E37" s="13">
        <f>HLOOKUP($D$5,'Syndicats comptes 2022'!$E$4:$AF$168,31,0)</f>
        <v>0</v>
      </c>
    </row>
    <row r="38" spans="2:5" x14ac:dyDescent="0.2">
      <c r="C38" s="8">
        <v>342</v>
      </c>
      <c r="D38" s="8" t="s">
        <v>103</v>
      </c>
      <c r="E38" s="13">
        <f>HLOOKUP($D$5,'Syndicats comptes 2022'!$E$4:$AF$168,32,0)</f>
        <v>0</v>
      </c>
    </row>
    <row r="39" spans="2:5" x14ac:dyDescent="0.2">
      <c r="C39" s="8">
        <v>343</v>
      </c>
      <c r="D39" s="8" t="s">
        <v>104</v>
      </c>
      <c r="E39" s="13">
        <f>HLOOKUP($D$5,'Syndicats comptes 2022'!$E$4:$AF$168,33,0)</f>
        <v>0</v>
      </c>
    </row>
    <row r="40" spans="2:5" x14ac:dyDescent="0.2">
      <c r="C40" s="8">
        <v>344</v>
      </c>
      <c r="D40" s="8" t="s">
        <v>105</v>
      </c>
      <c r="E40" s="13">
        <f>HLOOKUP($D$5,'Syndicats comptes 2022'!$E$4:$AF$168,34,0)</f>
        <v>0</v>
      </c>
    </row>
    <row r="41" spans="2:5" x14ac:dyDescent="0.2">
      <c r="C41" s="8">
        <v>349</v>
      </c>
      <c r="D41" s="8" t="s">
        <v>106</v>
      </c>
      <c r="E41" s="13">
        <f>HLOOKUP($D$5,'Syndicats comptes 2022'!$E$4:$AF$168,35,0)</f>
        <v>0</v>
      </c>
    </row>
    <row r="42" spans="2:5" x14ac:dyDescent="0.2">
      <c r="E42" s="13"/>
    </row>
    <row r="43" spans="2:5" ht="15" x14ac:dyDescent="0.25">
      <c r="B43" s="79">
        <v>35</v>
      </c>
      <c r="C43" s="79"/>
      <c r="D43" s="79" t="s">
        <v>108</v>
      </c>
      <c r="E43" s="80">
        <f>HLOOKUP($D$5,'Syndicats comptes 2022'!$E$4:$AF$168,37,0)</f>
        <v>0</v>
      </c>
    </row>
    <row r="44" spans="2:5" x14ac:dyDescent="0.2">
      <c r="C44" s="8">
        <v>350</v>
      </c>
      <c r="D44" s="8" t="s">
        <v>108</v>
      </c>
      <c r="E44" s="13">
        <f>HLOOKUP($D$5,'Syndicats comptes 2022'!$E$4:$AF$168,38,0)</f>
        <v>0</v>
      </c>
    </row>
    <row r="45" spans="2:5" x14ac:dyDescent="0.2">
      <c r="C45" s="8">
        <v>351</v>
      </c>
      <c r="D45" s="8" t="s">
        <v>107</v>
      </c>
      <c r="E45" s="13">
        <f>HLOOKUP($D$5,'Syndicats comptes 2022'!$E$4:$AF$168,39,0)</f>
        <v>0</v>
      </c>
    </row>
    <row r="46" spans="2:5" x14ac:dyDescent="0.2">
      <c r="E46" s="13"/>
    </row>
    <row r="47" spans="2:5" ht="15" x14ac:dyDescent="0.25">
      <c r="B47" s="79">
        <v>36</v>
      </c>
      <c r="C47" s="79"/>
      <c r="D47" s="79" t="s">
        <v>109</v>
      </c>
      <c r="E47" s="80">
        <f>HLOOKUP($D$5,'Syndicats comptes 2022'!$E$4:$AF$168,41,0)</f>
        <v>0</v>
      </c>
    </row>
    <row r="48" spans="2:5" x14ac:dyDescent="0.2">
      <c r="C48" s="8">
        <v>360</v>
      </c>
      <c r="D48" s="8" t="s">
        <v>110</v>
      </c>
      <c r="E48" s="13">
        <f>HLOOKUP($D$5,'Syndicats comptes 2022'!$E$4:$AF$168,42,0)</f>
        <v>0</v>
      </c>
    </row>
    <row r="49" spans="2:5" x14ac:dyDescent="0.2">
      <c r="C49" s="8">
        <v>361</v>
      </c>
      <c r="D49" s="8" t="s">
        <v>111</v>
      </c>
      <c r="E49" s="13">
        <f>HLOOKUP($D$5,'Syndicats comptes 2022'!$E$4:$AF$168,43,0)</f>
        <v>0</v>
      </c>
    </row>
    <row r="50" spans="2:5" x14ac:dyDescent="0.2">
      <c r="C50" s="8">
        <v>362</v>
      </c>
      <c r="D50" s="8" t="s">
        <v>112</v>
      </c>
      <c r="E50" s="13">
        <f>HLOOKUP($D$5,'Syndicats comptes 2022'!$E$4:$AF$168,44,0)</f>
        <v>0</v>
      </c>
    </row>
    <row r="51" spans="2:5" x14ac:dyDescent="0.2">
      <c r="C51" s="8">
        <v>363</v>
      </c>
      <c r="D51" s="8" t="s">
        <v>113</v>
      </c>
      <c r="E51" s="13">
        <f>HLOOKUP($D$5,'Syndicats comptes 2022'!$E$4:$AF$168,45,0)</f>
        <v>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0</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0</v>
      </c>
    </row>
    <row r="67" spans="1:5" x14ac:dyDescent="0.2">
      <c r="E67" s="13"/>
    </row>
    <row r="68" spans="1:5" ht="15" x14ac:dyDescent="0.25">
      <c r="B68" s="79">
        <v>39</v>
      </c>
      <c r="C68" s="79"/>
      <c r="D68" s="79" t="s">
        <v>127</v>
      </c>
      <c r="E68" s="80">
        <f>HLOOKUP($D$5,'Syndicats comptes 2022'!$E$4:$AF$168,62,0)</f>
        <v>0</v>
      </c>
    </row>
    <row r="69" spans="1:5" x14ac:dyDescent="0.2">
      <c r="C69" s="8">
        <v>390</v>
      </c>
      <c r="D69" s="8" t="s">
        <v>128</v>
      </c>
      <c r="E69" s="13">
        <f>HLOOKUP($D$5,'Syndicats comptes 2022'!$E$4:$AF$168,63,0)</f>
        <v>0</v>
      </c>
    </row>
    <row r="70" spans="1:5" x14ac:dyDescent="0.2">
      <c r="C70" s="8">
        <v>391</v>
      </c>
      <c r="D70" s="8" t="s">
        <v>129</v>
      </c>
      <c r="E70" s="13">
        <f>HLOOKUP($D$5,'Syndicats comptes 2022'!$E$4:$AF$168,64,0)</f>
        <v>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0</v>
      </c>
    </row>
    <row r="74" spans="1:5" x14ac:dyDescent="0.2">
      <c r="C74" s="8">
        <v>395</v>
      </c>
      <c r="D74" s="8" t="s">
        <v>133</v>
      </c>
      <c r="E74" s="13">
        <f>HLOOKUP($D$5,'Syndicats comptes 2022'!$E$4:$AF$168,68,0)</f>
        <v>0</v>
      </c>
    </row>
    <row r="75" spans="1:5" x14ac:dyDescent="0.2">
      <c r="C75" s="8">
        <v>398</v>
      </c>
      <c r="D75" s="8" t="s">
        <v>134</v>
      </c>
      <c r="E75" s="13">
        <f>HLOOKUP($D$5,'Syndicats comptes 2022'!$E$4:$AF$168,69,0)</f>
        <v>0</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47268.15</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0</v>
      </c>
    </row>
    <row r="93" spans="2:5" x14ac:dyDescent="0.2">
      <c r="C93" s="8">
        <v>420</v>
      </c>
      <c r="D93" s="8" t="s">
        <v>147</v>
      </c>
      <c r="E93" s="13">
        <f>HLOOKUP($D$5,'Syndicats comptes 2022'!$E$4:$AF$168,87,0)</f>
        <v>0</v>
      </c>
    </row>
    <row r="94" spans="2:5" x14ac:dyDescent="0.2">
      <c r="C94" s="8">
        <v>421</v>
      </c>
      <c r="D94" s="8" t="s">
        <v>148</v>
      </c>
      <c r="E94" s="13">
        <f>HLOOKUP($D$5,'Syndicats comptes 2022'!$E$4:$AF$168,88,0)</f>
        <v>0</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0</v>
      </c>
    </row>
    <row r="98" spans="2:5" x14ac:dyDescent="0.2">
      <c r="C98" s="8">
        <v>425</v>
      </c>
      <c r="D98" s="8" t="s">
        <v>152</v>
      </c>
      <c r="E98" s="13">
        <f>HLOOKUP($D$5,'Syndicats comptes 2022'!$E$4:$AF$168,92,0)</f>
        <v>0</v>
      </c>
    </row>
    <row r="99" spans="2:5" x14ac:dyDescent="0.2">
      <c r="C99" s="8">
        <v>426</v>
      </c>
      <c r="D99" s="8" t="s">
        <v>153</v>
      </c>
      <c r="E99" s="13">
        <f>HLOOKUP($D$5,'Syndicats comptes 2022'!$E$4:$AF$168,93,0)</f>
        <v>0</v>
      </c>
    </row>
    <row r="100" spans="2:5" x14ac:dyDescent="0.2">
      <c r="C100" s="8">
        <v>427</v>
      </c>
      <c r="D100" s="8" t="s">
        <v>154</v>
      </c>
      <c r="E100" s="13">
        <f>HLOOKUP($D$5,'Syndicats comptes 2022'!$E$4:$AF$168,94,0)</f>
        <v>0</v>
      </c>
    </row>
    <row r="101" spans="2:5" x14ac:dyDescent="0.2">
      <c r="C101" s="8">
        <v>429</v>
      </c>
      <c r="D101" s="8" t="s">
        <v>155</v>
      </c>
      <c r="E101" s="13">
        <f>HLOOKUP($D$5,'Syndicats comptes 2022'!$E$4:$AF$168,95,0)</f>
        <v>0</v>
      </c>
    </row>
    <row r="102" spans="2:5" x14ac:dyDescent="0.2">
      <c r="E102" s="13"/>
    </row>
    <row r="103" spans="2:5" ht="15" x14ac:dyDescent="0.25">
      <c r="B103" s="81">
        <v>43</v>
      </c>
      <c r="C103" s="81"/>
      <c r="D103" s="81" t="s">
        <v>156</v>
      </c>
      <c r="E103" s="82">
        <f>HLOOKUP($D$5,'Syndicats comptes 2022'!$E$4:$AF$168,97,0)</f>
        <v>0</v>
      </c>
    </row>
    <row r="104" spans="2:5" x14ac:dyDescent="0.2">
      <c r="C104" s="8">
        <v>430</v>
      </c>
      <c r="D104" s="8" t="s">
        <v>157</v>
      </c>
      <c r="E104" s="13">
        <f>HLOOKUP($D$5,'Syndicats comptes 2022'!$E$4:$AF$168,98,0)</f>
        <v>0</v>
      </c>
    </row>
    <row r="105" spans="2:5" x14ac:dyDescent="0.2">
      <c r="C105" s="8">
        <v>431</v>
      </c>
      <c r="D105" s="8" t="s">
        <v>158</v>
      </c>
      <c r="E105" s="13">
        <f>HLOOKUP($D$5,'Syndicats comptes 2022'!$E$4:$AF$168,99,0)</f>
        <v>0</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0</v>
      </c>
    </row>
    <row r="108" spans="2:5" x14ac:dyDescent="0.2">
      <c r="E108" s="13"/>
    </row>
    <row r="109" spans="2:5" ht="15" x14ac:dyDescent="0.25">
      <c r="B109" s="81">
        <v>44</v>
      </c>
      <c r="C109" s="81"/>
      <c r="D109" s="81" t="s">
        <v>161</v>
      </c>
      <c r="E109" s="82">
        <f>HLOOKUP($D$5,'Syndicats comptes 2022'!$E$4:$AF$168,103,0)</f>
        <v>0</v>
      </c>
    </row>
    <row r="110" spans="2:5" x14ac:dyDescent="0.2">
      <c r="C110" s="8">
        <v>440</v>
      </c>
      <c r="D110" s="8" t="s">
        <v>162</v>
      </c>
      <c r="E110" s="13">
        <f>HLOOKUP($D$5,'Syndicats comptes 2022'!$E$4:$AF$168,104,0)</f>
        <v>0</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0</v>
      </c>
    </row>
    <row r="114" spans="2:5" x14ac:dyDescent="0.2">
      <c r="C114" s="8">
        <v>444</v>
      </c>
      <c r="D114" s="8" t="s">
        <v>105</v>
      </c>
      <c r="E114" s="13">
        <f>HLOOKUP($D$5,'Syndicats comptes 2022'!$E$4:$AF$168,108,0)</f>
        <v>0</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0</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0</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0</v>
      </c>
    </row>
    <row r="124" spans="2:5" x14ac:dyDescent="0.2">
      <c r="E124" s="13"/>
    </row>
    <row r="125" spans="2:5" ht="15" x14ac:dyDescent="0.25">
      <c r="B125" s="81">
        <v>46</v>
      </c>
      <c r="C125" s="81"/>
      <c r="D125" s="81" t="s">
        <v>174</v>
      </c>
      <c r="E125" s="82">
        <f>HLOOKUP($D$5,'Syndicats comptes 2022'!$E$4:$AF$168,119,0)</f>
        <v>47268.15</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47268.15</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0</v>
      </c>
    </row>
    <row r="130" spans="2:5" x14ac:dyDescent="0.2">
      <c r="C130" s="8">
        <v>469</v>
      </c>
      <c r="D130" s="8" t="s">
        <v>178</v>
      </c>
      <c r="E130" s="13">
        <f>HLOOKUP($D$5,'Syndicats comptes 2022'!$E$4:$AF$168,124,0)</f>
        <v>0</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0</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0</v>
      </c>
    </row>
    <row r="143" spans="2:5" x14ac:dyDescent="0.2">
      <c r="E143" s="13"/>
    </row>
    <row r="144" spans="2:5" ht="15" x14ac:dyDescent="0.25">
      <c r="B144" s="81">
        <v>49</v>
      </c>
      <c r="C144" s="81"/>
      <c r="D144" s="81" t="s">
        <v>127</v>
      </c>
      <c r="E144" s="82">
        <f>HLOOKUP($D$5,'Syndicats comptes 2022'!$E$4:$AF$168,138,0)</f>
        <v>0</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0</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0</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1308.75</v>
      </c>
    </row>
    <row r="158" spans="1:5" x14ac:dyDescent="0.2">
      <c r="C158" s="8">
        <v>900</v>
      </c>
      <c r="D158" s="8" t="s">
        <v>195</v>
      </c>
      <c r="E158" s="13">
        <f>HLOOKUP($D$5,'Syndicats comptes 2022'!$E$4:$AF$168,152,0)</f>
        <v>1308.75</v>
      </c>
    </row>
    <row r="159" spans="1:5" x14ac:dyDescent="0.2">
      <c r="C159" s="8">
        <v>901</v>
      </c>
      <c r="D159" s="8" t="s">
        <v>196</v>
      </c>
      <c r="E159" s="13">
        <f>HLOOKUP($D$5,'Syndicats comptes 2022'!$E$4:$AF$168,153,0)</f>
        <v>0</v>
      </c>
    </row>
    <row r="160" spans="1:5" x14ac:dyDescent="0.2">
      <c r="E160" s="13"/>
    </row>
    <row r="161" spans="4:5" ht="15" x14ac:dyDescent="0.25">
      <c r="D161" s="7" t="s">
        <v>197</v>
      </c>
      <c r="E161" s="13">
        <f>HLOOKUP($D$5,'Syndicats comptes 2022'!$E$4:$AF$168,155,0)</f>
        <v>1308.75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B16" sqref="B16"/>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B16" sqref="B16"/>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803</v>
      </c>
    </row>
    <row r="9" spans="1:3" ht="15" x14ac:dyDescent="0.25">
      <c r="A9" s="100" t="s">
        <v>215</v>
      </c>
      <c r="B9" s="100" t="s">
        <v>200</v>
      </c>
      <c r="C9" s="100" t="s">
        <v>852</v>
      </c>
    </row>
    <row r="10" spans="1:3" x14ac:dyDescent="0.2">
      <c r="A10" s="101">
        <v>90</v>
      </c>
      <c r="B10" s="102" t="s">
        <v>217</v>
      </c>
      <c r="C10" s="103">
        <f>HLOOKUP($B$6,'Syndicats comptes 2022'!$E$4:$AF$169,151,0)</f>
        <v>1308.75</v>
      </c>
    </row>
    <row r="11" spans="1:3" x14ac:dyDescent="0.2">
      <c r="A11" s="101">
        <v>900</v>
      </c>
      <c r="B11" s="102" t="s">
        <v>218</v>
      </c>
      <c r="C11" s="103">
        <f>HLOOKUP($B$6,'Syndicats comptes 2022'!$E$4:$AF$169,152,0)</f>
        <v>1308.75</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B16" sqref="B16"/>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32158129.799999997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32819040.750000004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B16" sqref="B16"/>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803</v>
      </c>
    </row>
    <row r="8" spans="1:3" ht="15" x14ac:dyDescent="0.25">
      <c r="A8" s="100" t="s">
        <v>199</v>
      </c>
      <c r="B8" s="100" t="s">
        <v>200</v>
      </c>
      <c r="C8" s="100" t="s">
        <v>201</v>
      </c>
    </row>
    <row r="9" spans="1:3" x14ac:dyDescent="0.2">
      <c r="A9" s="101" t="s">
        <v>208</v>
      </c>
      <c r="B9" s="102" t="s">
        <v>202</v>
      </c>
      <c r="C9" s="103">
        <f>HLOOKUP($B$6,'Syndicats comptes 2022'!$E$4:$AF$168,164,0)</f>
        <v>45959.4</v>
      </c>
    </row>
    <row r="10" spans="1:3" x14ac:dyDescent="0.2">
      <c r="A10" s="101" t="s">
        <v>209</v>
      </c>
      <c r="B10" s="102" t="s">
        <v>203</v>
      </c>
      <c r="C10" s="103">
        <f>HLOOKUP($B$6,'Syndicats comptes 2022'!$E$4:$AF$168,165,0)</f>
        <v>47268.15</v>
      </c>
    </row>
    <row r="11" spans="1:3" ht="15" x14ac:dyDescent="0.25">
      <c r="A11" s="102"/>
      <c r="B11" s="104" t="s">
        <v>204</v>
      </c>
      <c r="C11" s="105">
        <f>C10-C9</f>
        <v>1308.75</v>
      </c>
    </row>
    <row r="12" spans="1:3" x14ac:dyDescent="0.2">
      <c r="A12" s="102"/>
      <c r="B12" s="102"/>
      <c r="C12" s="102"/>
    </row>
    <row r="13" spans="1:3" x14ac:dyDescent="0.2">
      <c r="A13" s="102">
        <v>34</v>
      </c>
      <c r="B13" s="102" t="s">
        <v>100</v>
      </c>
      <c r="C13" s="103">
        <f>HLOOKUP($B$6,'Syndicats comptes 2022'!$E$4:$AF$168,29,0)</f>
        <v>0</v>
      </c>
    </row>
    <row r="14" spans="1:3" x14ac:dyDescent="0.2">
      <c r="A14" s="102">
        <v>44</v>
      </c>
      <c r="B14" s="102" t="s">
        <v>161</v>
      </c>
      <c r="C14" s="103">
        <f>HLOOKUP($B$6,'Syndicats comptes 2022'!$E$4:$AF$168,103,0)</f>
        <v>0</v>
      </c>
    </row>
    <row r="15" spans="1:3" ht="15" x14ac:dyDescent="0.25">
      <c r="A15" s="102"/>
      <c r="B15" s="104" t="s">
        <v>237</v>
      </c>
      <c r="C15" s="105">
        <f>C14-C13</f>
        <v>0</v>
      </c>
    </row>
    <row r="16" spans="1:3" x14ac:dyDescent="0.2">
      <c r="A16" s="102"/>
      <c r="B16" s="102"/>
      <c r="C16" s="102"/>
    </row>
    <row r="17" spans="1:3" ht="15" x14ac:dyDescent="0.25">
      <c r="A17" s="102"/>
      <c r="B17" s="104" t="s">
        <v>205</v>
      </c>
      <c r="C17" s="105">
        <f>C11+C15</f>
        <v>1308.75</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1308.75</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X191" activePane="bottomRight" state="frozen"/>
      <selection activeCell="B16" sqref="B16"/>
      <selection pane="topRight" activeCell="B16" sqref="B16"/>
      <selection pane="bottomLeft" activeCell="B16" sqref="B16"/>
      <selection pane="bottomRight" activeCell="B16" sqref="B16"/>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160166488.99000001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40376341.029999994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22948537.590000004</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21839149.400000002</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3871410.87</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3495706.85</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160166488.99000001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55156526.920000009</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5009194.7299999995</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3324064.12</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37577166.210000001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34307086.210000001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B16" sqref="B16"/>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U1" workbookViewId="0">
      <selection activeCell="B16" sqref="B16"/>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40376341.029999994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55156526.920000009</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5009194.7299999995</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37577166.210000001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53344242.370000005</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B16" sqref="B16"/>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803</v>
      </c>
    </row>
    <row r="6" spans="1:3" ht="15" customHeight="1" x14ac:dyDescent="0.25">
      <c r="C6" s="33"/>
    </row>
    <row r="7" spans="1:3" ht="15" customHeight="1" x14ac:dyDescent="0.25">
      <c r="C7" s="144" t="s">
        <v>201</v>
      </c>
    </row>
    <row r="8" spans="1:3" x14ac:dyDescent="0.2">
      <c r="A8" s="8">
        <v>10</v>
      </c>
      <c r="B8" s="8" t="s">
        <v>239</v>
      </c>
      <c r="C8" s="13">
        <f>HLOOKUP($B$5,'Syndicats endettement'!C7:AD24,2,0)</f>
        <v>28641.399999999998</v>
      </c>
    </row>
    <row r="9" spans="1:3" x14ac:dyDescent="0.2">
      <c r="C9" s="13"/>
    </row>
    <row r="10" spans="1:3" x14ac:dyDescent="0.2">
      <c r="A10" s="8">
        <v>20</v>
      </c>
      <c r="B10" s="8" t="s">
        <v>251</v>
      </c>
      <c r="C10" s="13">
        <f>HLOOKUP($B$5,'Syndicats endettement'!$C$7:$AD$21,4,0)</f>
        <v>667.75</v>
      </c>
    </row>
    <row r="11" spans="1:3" x14ac:dyDescent="0.2">
      <c r="C11" s="13"/>
    </row>
    <row r="12" spans="1:3" x14ac:dyDescent="0.2">
      <c r="A12" s="8">
        <v>200</v>
      </c>
      <c r="B12" s="8" t="s">
        <v>448</v>
      </c>
      <c r="C12" s="13">
        <f>HLOOKUP($B$5,'Syndicats endettement'!$C$7:$AD$21,6,0)</f>
        <v>0</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0</v>
      </c>
    </row>
    <row r="22" spans="1:3" ht="15" x14ac:dyDescent="0.25">
      <c r="B22" s="140" t="s">
        <v>495</v>
      </c>
      <c r="C22" s="142">
        <f>C21-C8</f>
        <v>-28641.399999999998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2023-11-17T07:43:54Z</cp:lastPrinted>
  <dcterms:created xsi:type="dcterms:W3CDTF">2015-10-26T07:38:03Z</dcterms:created>
  <dcterms:modified xsi:type="dcterms:W3CDTF">2023-11-17T09:11:43Z</dcterms:modified>
</cp:coreProperties>
</file>