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 activeTab="3"/>
  </bookViews>
  <sheets>
    <sheet name="Sommaire" sheetId="47" state="hidden" r:id="rId1"/>
    <sheet name="Base de données pop." sheetId="13" state="hidden" r:id="rId2"/>
    <sheet name="Population" sheetId="1" state="hidden" r:id="rId3"/>
    <sheet name="4.1 Comptes 2022 natures" sheetId="23"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<sst xmlns="http://schemas.openxmlformats.org/spreadsheetml/2006/main" count="5441" uniqueCount="871">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</sst>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5"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5">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C43" sqref="C4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8" t="s">
        <v>587</v>
      </c>
    </row>
    <row r="6" spans="1:3" ht="15.75" thickBot="1" x14ac:dyDescent="0.3">
      <c r="B6" s="96" t="s">
        <v>49</v>
      </c>
    </row>
    <row r="9" spans="1:3" ht="15" x14ac:dyDescent="0.25">
      <c r="A9" s="100" t="s">
        <v>215</v>
      </c>
      <c r="B9" s="100" t="s">
        <v>200</v>
      </c>
      <c r="C9" s="100" t="s">
        <v>852</v>
      </c>
    </row>
    <row r="10" spans="1:3" x14ac:dyDescent="0.2">
      <c r="A10" s="101">
        <v>90</v>
      </c>
      <c r="B10" s="102" t="s">
        <v>217</v>
      </c>
      <c r="C10" s="103">
        <f>HLOOKUP($B$6,'4.1 Comptes 2022 natures'!$E$4:$BE$170,151,0)</f>
        <v>7224.1500000000233</v>
      </c>
    </row>
    <row r="11" spans="1:3" x14ac:dyDescent="0.2">
      <c r="A11" s="101">
        <v>900</v>
      </c>
      <c r="B11" s="102" t="s">
        <v>218</v>
      </c>
      <c r="C11" s="103">
        <f>HLOOKUP($B$6,'4.1 Comptes 2022 natures'!$E$4:$BE$170,152,0)</f>
        <v>-143672.57999999999</v>
      </c>
    </row>
    <row r="12" spans="1:3" x14ac:dyDescent="0.2">
      <c r="A12" s="101">
        <v>901</v>
      </c>
      <c r="B12" s="102" t="s">
        <v>219</v>
      </c>
      <c r="C12" s="103">
        <f>HLOOKUP($B$6,'4.1 Comptes 2022 natures'!$E$4:$BE$170,153,0)</f>
        <v>150896.73000000001</v>
      </c>
    </row>
    <row r="13" spans="1:3" x14ac:dyDescent="0.2">
      <c r="A13" s="101">
        <v>400</v>
      </c>
      <c r="B13" s="102" t="s">
        <v>137</v>
      </c>
      <c r="C13" s="103">
        <f>HLOOKUP($B$6,'4.1 Comptes 2022 natures'!$E$4:$BE$170,75,0)</f>
        <v>4101354</v>
      </c>
    </row>
    <row r="14" spans="1:3" x14ac:dyDescent="0.2">
      <c r="A14" s="101">
        <v>401</v>
      </c>
      <c r="B14" s="102" t="s">
        <v>138</v>
      </c>
      <c r="C14" s="103">
        <f>HLOOKUP($B$6,'4.1 Comptes 2022 natures'!$E$4:$BE$170,76,0)</f>
        <v>49702.400000000001</v>
      </c>
    </row>
    <row r="15" spans="1:3" x14ac:dyDescent="0.2">
      <c r="A15" s="101">
        <v>4021</v>
      </c>
      <c r="B15" s="102" t="s">
        <v>213</v>
      </c>
      <c r="C15" s="103">
        <f>HLOOKUP($B$6,'4.1 Comptes 2022 natures'!$E$4:$BE$170,161,0)</f>
        <v>340555</v>
      </c>
    </row>
    <row r="16" spans="1:3" x14ac:dyDescent="0.2">
      <c r="A16" s="101" t="s">
        <v>216</v>
      </c>
      <c r="B16" s="102" t="s">
        <v>220</v>
      </c>
      <c r="C16" s="103">
        <f>HLOOKUP($B$6,'6.1 Investissements'!$E$4:$BI$183,180,0)</f>
        <v>264388.7</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A2" sqref="A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6" sqref="D6"/>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28" sqref="D28"/>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0" t="s">
        <v>49</v>
      </c>
      <c r="C6" s="211"/>
      <c r="D6" s="212"/>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pane="topRight" activeCell="C1" sqref="C1"/>
      <selection pane="bottomLeft" activeCell="A4" sqref="A4"/>
      <selection pane="bottomRight" activeCell="BD45" sqref="BD45"/>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B5" sqref="B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C24" sqref="C24"/>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E37" sqref="E37"/>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7" t="s">
        <v>725</v>
      </c>
      <c r="H2" s="208"/>
      <c r="I2" s="208"/>
      <c r="J2" s="208"/>
      <c r="K2" s="20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pane="topRight" activeCell="E1" sqref="E1"/>
      <selection pane="bottomLeft" activeCell="A4" sqref="A4"/>
      <selection pane="bottomRight" activeCell="M15" sqref="M1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E2" sqref="E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I37" sqref="I37"/>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pane="topRight" activeCell="C1" sqref="C1"/>
      <selection pane="bottomLeft" activeCell="A7" sqref="A7"/>
      <selection pane="bottomRight" activeCell="BD30" sqref="BD30"/>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6" sqref="C6"/>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pane="topRight" activeCell="E1" sqref="E1"/>
      <selection pane="bottomLeft" activeCell="A4" sqref="A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13" sqref="D1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3" t="s">
        <v>635</v>
      </c>
      <c r="B14" s="214"/>
      <c r="C14" s="214"/>
      <c r="D14" s="214"/>
      <c r="E14" s="214"/>
      <c r="F14" s="214"/>
      <c r="G14" s="214"/>
      <c r="H14" s="215"/>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3" t="s">
        <v>647</v>
      </c>
      <c r="B24" s="214"/>
      <c r="C24" s="214"/>
      <c r="D24" s="214"/>
      <c r="E24" s="214"/>
      <c r="F24" s="214"/>
      <c r="G24" s="214"/>
      <c r="H24" s="215"/>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3" t="s">
        <v>654</v>
      </c>
      <c r="B32" s="214"/>
      <c r="C32" s="214"/>
      <c r="D32" s="214"/>
      <c r="E32" s="214"/>
      <c r="F32" s="214"/>
      <c r="G32" s="214"/>
      <c r="H32" s="215"/>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3" t="s">
        <v>664</v>
      </c>
      <c r="B42" s="214"/>
      <c r="C42" s="214"/>
      <c r="D42" s="214"/>
      <c r="E42" s="214"/>
      <c r="F42" s="214"/>
      <c r="G42" s="214"/>
      <c r="H42" s="215"/>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3" t="s">
        <v>674</v>
      </c>
      <c r="B53" s="214"/>
      <c r="C53" s="214"/>
      <c r="D53" s="214"/>
      <c r="E53" s="214"/>
      <c r="F53" s="214"/>
      <c r="G53" s="214"/>
      <c r="H53" s="215"/>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3" t="s">
        <v>682</v>
      </c>
      <c r="B62" s="214"/>
      <c r="C62" s="214"/>
      <c r="D62" s="214"/>
      <c r="E62" s="214"/>
      <c r="F62" s="214"/>
      <c r="G62" s="214"/>
      <c r="H62" s="215"/>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3" t="s">
        <v>691</v>
      </c>
      <c r="B71" s="214"/>
      <c r="C71" s="214"/>
      <c r="D71" s="214"/>
      <c r="E71" s="214"/>
      <c r="F71" s="214"/>
      <c r="G71" s="214"/>
      <c r="H71" s="215"/>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3" t="s">
        <v>703</v>
      </c>
      <c r="B81" s="214"/>
      <c r="C81" s="214"/>
      <c r="D81" s="214"/>
      <c r="E81" s="214"/>
      <c r="F81" s="214"/>
      <c r="G81" s="214"/>
      <c r="H81" s="215"/>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3" t="s">
        <v>710</v>
      </c>
      <c r="B89" s="214"/>
      <c r="C89" s="214"/>
      <c r="D89" s="214"/>
      <c r="E89" s="214"/>
      <c r="F89" s="214"/>
      <c r="G89" s="214"/>
      <c r="H89" s="215"/>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3" t="s">
        <v>718</v>
      </c>
      <c r="B98" s="214"/>
      <c r="C98" s="214"/>
      <c r="D98" s="214"/>
      <c r="E98" s="214"/>
      <c r="F98" s="214"/>
      <c r="G98" s="214"/>
      <c r="H98" s="215"/>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E24" sqref="E24"/>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pane="topRight" activeCell="E1" sqref="E1"/>
      <selection pane="bottomLeft" activeCell="A4" sqref="A4"/>
      <selection pane="bottomRight" activeCell="BK13" sqref="BK1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pane="topRight" activeCell="E1" sqref="E1"/>
      <selection pane="bottomLeft" activeCell="A12" sqref="A12"/>
      <selection pane="bottomRight" activeCell="AU35" sqref="AU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6" t="s">
        <v>491</v>
      </c>
      <c r="B2" s="216"/>
      <c r="C2" s="216"/>
      <c r="D2" s="216"/>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pane="topRight" activeCell="E1" sqref="E1"/>
      <selection pane="bottomLeft" activeCell="A6" sqref="A6"/>
      <selection pane="bottomRight" activeCell="S34" sqref="S3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pane="topRight" activeCell="E1" sqref="E1"/>
      <selection pane="bottomLeft" activeCell="A12" sqref="A12"/>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6" t="s">
        <v>491</v>
      </c>
      <c r="B2" s="216"/>
      <c r="C2" s="216"/>
      <c r="D2" s="216"/>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pane="topRight" activeCell="E1" sqref="E1"/>
      <selection pane="bottomLeft" activeCell="A12" sqref="A12"/>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6" t="s">
        <v>491</v>
      </c>
      <c r="B2" s="216"/>
      <c r="C2" s="216"/>
      <c r="D2" s="216"/>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pane="topRight" activeCell="E1" sqref="E1"/>
      <selection pane="bottomLeft" activeCell="A12" sqref="A12"/>
      <selection pane="bottomRight" activeCell="BK6" sqref="BK6:BK1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6" t="s">
        <v>491</v>
      </c>
      <c r="B2" s="216"/>
      <c r="C2" s="216"/>
      <c r="D2" s="216"/>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pane="topRight" activeCell="E1" sqref="E1"/>
      <selection pane="bottomLeft" activeCell="A11" sqref="A11"/>
      <selection pane="bottomRight" activeCell="BB23" sqref="BB2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6" t="s">
        <v>491</v>
      </c>
      <c r="B6" s="216"/>
      <c r="C6" s="216"/>
      <c r="D6" s="216"/>
    </row>
    <row r="7" spans="1:60" ht="15" thickBot="1" x14ac:dyDescent="0.25"/>
    <row r="8" spans="1:60" ht="15.75" thickBot="1" x14ac:dyDescent="0.3">
      <c r="A8" s="217" t="s">
        <v>562</v>
      </c>
      <c r="B8" s="218"/>
      <c r="C8" s="218"/>
      <c r="D8" s="219"/>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11" sqref="B11"/>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6"/>
      <c r="B1" s="216"/>
      <c r="C1" s="216"/>
      <c r="D1" s="216"/>
    </row>
    <row r="2" spans="1:8" ht="18" x14ac:dyDescent="0.25">
      <c r="A2" s="223" t="s">
        <v>831</v>
      </c>
      <c r="B2" s="223"/>
      <c r="C2" s="223"/>
      <c r="D2" s="223"/>
      <c r="E2" s="216"/>
      <c r="F2" s="216"/>
      <c r="G2" s="216"/>
      <c r="H2" s="216"/>
    </row>
    <row r="3" spans="1:8" ht="18" x14ac:dyDescent="0.25">
      <c r="A3" s="193"/>
      <c r="B3" s="193"/>
      <c r="C3" s="193"/>
      <c r="D3" s="193"/>
      <c r="E3" s="193"/>
      <c r="F3" s="193"/>
      <c r="G3" s="193"/>
      <c r="H3" s="193"/>
    </row>
    <row r="4" spans="1:8" ht="15" thickBot="1" x14ac:dyDescent="0.25">
      <c r="B4" s="224" t="s">
        <v>782</v>
      </c>
      <c r="C4" s="224"/>
      <c r="D4" s="224"/>
    </row>
    <row r="5" spans="1:8" ht="15.75" thickBot="1" x14ac:dyDescent="0.3">
      <c r="A5" s="32" t="s">
        <v>569</v>
      </c>
      <c r="B5" s="210" t="s">
        <v>49</v>
      </c>
      <c r="C5" s="211"/>
      <c r="D5" s="212"/>
      <c r="F5" s="158"/>
    </row>
    <row r="6" spans="1:8" ht="15.75" thickBot="1" x14ac:dyDescent="0.3">
      <c r="E6" s="7"/>
      <c r="H6" s="165"/>
    </row>
    <row r="7" spans="1:8" ht="15.75" thickBot="1" x14ac:dyDescent="0.3">
      <c r="A7" s="220" t="s">
        <v>562</v>
      </c>
      <c r="B7" s="221"/>
      <c r="C7" s="221"/>
      <c r="D7" s="222"/>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pane="topRight" activeCell="E1" sqref="E1"/>
      <selection pane="bottomLeft" activeCell="A4" sqref="A4"/>
      <selection pane="bottomRight" activeCell="Q157" sqref="Q157"/>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tabSelected="1" zoomScaleNormal="100" workbookViewId="0">
      <pane xSplit="4" ySplit="4" topLeftCell="AZ5" activePane="bottomRight" state="frozen"/>
      <selection pane="topRight" activeCell="E1" sqref="E1"/>
      <selection pane="bottomLeft" activeCell="A4" sqref="A4"/>
      <selection pane="bottomRight" activeCell="BH184" sqref="BH184"/>
    </sheetView>
  </sheetViews>
  <sheetFormatPr baseColWidth="10" defaultRowHeight="14.25" x14ac:dyDescent="0.2"/>
  <cols>
    <col min="1" max="2" width="5.7109375" style="8" customWidth="1"/>
    <col min="3" max="3" width="9" style="8" customWidth="1"/>
    <col min="4" max="4" width="66" style="8" customWidth="1"/>
    <col min="5" max="57" width="16.28515625" style="8" hidden="1" customWidth="1"/>
    <col min="58" max="61" width="19.2851562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hidden="1"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hidden="1"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hidden="1"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2" spans="1:61" hidden="1" x14ac:dyDescent="0.2"/>
    <row r="163" spans="1:61" ht="15" hidden="1" x14ac:dyDescent="0.25">
      <c r="D163" s="89" t="s">
        <v>450</v>
      </c>
    </row>
    <row r="164" spans="1:61" hidden="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hidden="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hidden="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hidden="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hidden="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hidden="1" x14ac:dyDescent="0.2">
      <c r="M169" s="13"/>
    </row>
    <row r="170" spans="1:61" hidden="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1" spans="1:61" hidden="1" x14ac:dyDescent="0.2"/>
    <row r="172" spans="1:61" hidden="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hidden="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4" spans="1:61" hidden="1" x14ac:dyDescent="0.2"/>
    <row r="175" spans="1:61" hidden="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25" sqref="C2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4" sqref="C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6" sqref="B6:D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0" t="s">
        <v>740</v>
      </c>
      <c r="C6" s="211"/>
      <c r="D6" s="212"/>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pane="topRight" activeCell="F1" sqref="F1"/>
      <selection pane="bottomLeft" activeCell="A4" sqref="A4"/>
      <selection pane="bottomRight" activeCell="R219" sqref="R21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6" sqref="B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3" sqref="B3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C39" sqref="C39"/>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pane="topRight" activeCell="E1" sqref="E1"/>
      <selection pane="bottomLeft" activeCell="A4" sqref="A4"/>
      <selection pane="bottomRight" activeCell="Q180" sqref="Q180"/>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pane="topRight" activeCell="E1" sqref="E1"/>
      <selection pane="bottomLeft" activeCell="A4" sqref="A4"/>
      <selection pane="bottomRight" activeCell="AA157" sqref="AA15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7" sqref="C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7" sqref="A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pane="topRight" activeCell="F1" sqref="F1"/>
      <selection pane="bottomLeft" activeCell="A4" sqref="A4"/>
      <selection pane="bottomRight" activeCell="AB219" sqref="AB2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F31" sqref="F31"/>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2" sqref="A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627</v>
      </c>
      <c r="D5" s="96" t="s">
        <v>31</v>
      </c>
    </row>
    <row r="7" spans="1:5" ht="15" x14ac:dyDescent="0.25">
      <c r="E7" s="33" t="s">
        <v>201</v>
      </c>
    </row>
    <row r="8" spans="1:5" ht="20.25" x14ac:dyDescent="0.3">
      <c r="A8" s="11">
        <v>3</v>
      </c>
      <c r="B8" s="11"/>
      <c r="C8" s="11"/>
      <c r="D8" s="11" t="s">
        <v>60</v>
      </c>
      <c r="E8" s="97">
        <f>HLOOKUP(D5,'4.1 Comptes 2022 natures'!$E$4:$BE$159,2,0)</f>
        <v>3155185.66</v>
      </c>
    </row>
    <row r="9" spans="1:5" ht="15" x14ac:dyDescent="0.25">
      <c r="A9" s="79"/>
      <c r="B9" s="79">
        <v>30</v>
      </c>
      <c r="C9" s="79"/>
      <c r="D9" s="79" t="s">
        <v>61</v>
      </c>
      <c r="E9" s="80">
        <f>HLOOKUP($D$5,'4.1 Comptes 2022 natures'!$E$4:$BE$159,3,0)</f>
        <v>293823.64999999997</v>
      </c>
    </row>
    <row r="10" spans="1:5" x14ac:dyDescent="0.2">
      <c r="C10" s="8">
        <v>300</v>
      </c>
      <c r="D10" s="8" t="s">
        <v>80</v>
      </c>
      <c r="E10" s="18">
        <f>HLOOKUP($D$5,'4.1 Comptes 2022 natures'!$E$4:$BE$159,4,0)</f>
        <v>58838.5</v>
      </c>
    </row>
    <row r="11" spans="1:5" x14ac:dyDescent="0.2">
      <c r="C11" s="8">
        <v>301</v>
      </c>
      <c r="D11" s="8" t="s">
        <v>81</v>
      </c>
      <c r="E11" s="18">
        <f>HLOOKUP($D$5,'4.1 Comptes 2022 natures'!$E$4:$BE$159,5,0)</f>
        <v>186959.9</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40493.9</v>
      </c>
    </row>
    <row r="16" spans="1:5" x14ac:dyDescent="0.2">
      <c r="C16" s="8">
        <v>306</v>
      </c>
      <c r="D16" s="8" t="s">
        <v>85</v>
      </c>
      <c r="E16" s="18">
        <f>HLOOKUP($D$5,'4.1 Comptes 2022 natures'!$E$4:$BE$159,10,0)</f>
        <v>0</v>
      </c>
    </row>
    <row r="17" spans="2:5" x14ac:dyDescent="0.2">
      <c r="C17" s="8">
        <v>309</v>
      </c>
      <c r="D17" s="8" t="s">
        <v>86</v>
      </c>
      <c r="E17" s="18">
        <f>HLOOKUP($D$5,'4.1 Comptes 2022 natures'!$E$4:$BE$159,11,0)</f>
        <v>7531.35</v>
      </c>
    </row>
    <row r="18" spans="2:5" x14ac:dyDescent="0.2">
      <c r="E18" s="13"/>
    </row>
    <row r="19" spans="2:5" ht="15" x14ac:dyDescent="0.25">
      <c r="B19" s="79">
        <v>31</v>
      </c>
      <c r="C19" s="79"/>
      <c r="D19" s="79" t="s">
        <v>87</v>
      </c>
      <c r="E19" s="80">
        <f>SUM(E20:E29)</f>
        <v>738373.7300000001</v>
      </c>
    </row>
    <row r="20" spans="2:5" x14ac:dyDescent="0.2">
      <c r="C20" s="8">
        <v>310</v>
      </c>
      <c r="D20" s="8" t="s">
        <v>88</v>
      </c>
      <c r="E20" s="18">
        <f>HLOOKUP($D$5,'4.1 Comptes 2022 natures'!$E$4:$BE$159,14,0)</f>
        <v>63452.71</v>
      </c>
    </row>
    <row r="21" spans="2:5" x14ac:dyDescent="0.2">
      <c r="C21" s="8">
        <v>311</v>
      </c>
      <c r="D21" s="8" t="s">
        <v>449</v>
      </c>
      <c r="E21" s="18">
        <f>HLOOKUP($D$5,'4.1 Comptes 2022 natures'!$E$4:$BE$159,15,0)</f>
        <v>20405.150000000001</v>
      </c>
    </row>
    <row r="22" spans="2:5" x14ac:dyDescent="0.2">
      <c r="C22" s="8">
        <v>312</v>
      </c>
      <c r="D22" s="8" t="s">
        <v>90</v>
      </c>
      <c r="E22" s="18">
        <f>HLOOKUP($D$5,'4.1 Comptes 2022 natures'!$E$4:$BE$159,16,0)</f>
        <v>349559.05</v>
      </c>
    </row>
    <row r="23" spans="2:5" x14ac:dyDescent="0.2">
      <c r="C23" s="8">
        <v>313</v>
      </c>
      <c r="D23" s="8" t="s">
        <v>91</v>
      </c>
      <c r="E23" s="18">
        <f>HLOOKUP($D$5,'4.1 Comptes 2022 natures'!$E$4:$BE$159,17,0)</f>
        <v>155221.93</v>
      </c>
    </row>
    <row r="24" spans="2:5" x14ac:dyDescent="0.2">
      <c r="C24" s="8">
        <v>314</v>
      </c>
      <c r="D24" s="8" t="s">
        <v>841</v>
      </c>
      <c r="E24" s="18">
        <f>HLOOKUP($D$5,'4.1 Comptes 2022 natures'!$E$4:$BE$159,18,0)</f>
        <v>113594.55</v>
      </c>
    </row>
    <row r="25" spans="2:5" x14ac:dyDescent="0.2">
      <c r="C25" s="8">
        <v>315</v>
      </c>
      <c r="D25" s="8" t="s">
        <v>92</v>
      </c>
      <c r="E25" s="18">
        <f>HLOOKUP($D$5,'4.1 Comptes 2022 natures'!$E$4:$BE$159,19,0)</f>
        <v>6207.3</v>
      </c>
    </row>
    <row r="26" spans="2:5" x14ac:dyDescent="0.2">
      <c r="C26" s="8">
        <v>316</v>
      </c>
      <c r="D26" s="8" t="s">
        <v>93</v>
      </c>
      <c r="E26" s="18">
        <f>HLOOKUP($D$5,'4.1 Comptes 2022 natures'!$E$4:$BE$159,20,0)</f>
        <v>538.5</v>
      </c>
    </row>
    <row r="27" spans="2:5" x14ac:dyDescent="0.2">
      <c r="C27" s="8">
        <v>317</v>
      </c>
      <c r="D27" s="8" t="s">
        <v>94</v>
      </c>
      <c r="E27" s="18">
        <f>HLOOKUP($D$5,'4.1 Comptes 2022 natures'!$E$4:$BE$159,21,0)</f>
        <v>61241.55</v>
      </c>
    </row>
    <row r="28" spans="2:5" x14ac:dyDescent="0.2">
      <c r="C28" s="8">
        <v>318</v>
      </c>
      <c r="D28" s="8" t="s">
        <v>95</v>
      </c>
      <c r="E28" s="18">
        <f>HLOOKUP($D$5,'4.1 Comptes 2022 natures'!$E$4:$BE$159,22,0)</f>
        <v>-38299.11</v>
      </c>
    </row>
    <row r="29" spans="2:5" x14ac:dyDescent="0.2">
      <c r="C29" s="8">
        <v>319</v>
      </c>
      <c r="D29" s="8" t="s">
        <v>96</v>
      </c>
      <c r="E29" s="18">
        <f>HLOOKUP($D$5,'4.1 Comptes 2022 natures'!$E$4:$BE$159,23,0)</f>
        <v>6452.1</v>
      </c>
    </row>
    <row r="30" spans="2:5" x14ac:dyDescent="0.2">
      <c r="E30" s="13"/>
    </row>
    <row r="31" spans="2:5" ht="15" x14ac:dyDescent="0.25">
      <c r="B31" s="79">
        <v>33</v>
      </c>
      <c r="C31" s="79"/>
      <c r="D31" s="79" t="s">
        <v>97</v>
      </c>
      <c r="E31" s="80">
        <f>SUM(E32:E33)</f>
        <v>168872.25</v>
      </c>
    </row>
    <row r="32" spans="2:5" x14ac:dyDescent="0.2">
      <c r="C32" s="8">
        <v>330</v>
      </c>
      <c r="D32" s="8" t="s">
        <v>99</v>
      </c>
      <c r="E32" s="18">
        <f>HLOOKUP($D$5,'4.1 Comptes 2022 natures'!$E$4:$BE$159,26,0)</f>
        <v>168872.25</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54609.120000000003</v>
      </c>
    </row>
    <row r="36" spans="2:5" x14ac:dyDescent="0.2">
      <c r="C36" s="8">
        <v>340</v>
      </c>
      <c r="D36" s="8" t="s">
        <v>101</v>
      </c>
      <c r="E36" s="18">
        <f>HLOOKUP($D$5,'4.1 Comptes 2022 natures'!$E$4:$BE$159,30,0)</f>
        <v>45109.47</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8579.4</v>
      </c>
    </row>
    <row r="40" spans="2:5" x14ac:dyDescent="0.2">
      <c r="C40" s="8">
        <v>344</v>
      </c>
      <c r="D40" s="8" t="s">
        <v>105</v>
      </c>
      <c r="E40" s="18">
        <f>HLOOKUP($D$5,'4.1 Comptes 2022 natures'!$E$4:$BE$159,34,0)</f>
        <v>920.25</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0</v>
      </c>
    </row>
    <row r="44" spans="2:5" x14ac:dyDescent="0.2">
      <c r="C44" s="8">
        <v>350</v>
      </c>
      <c r="D44" s="8" t="s">
        <v>108</v>
      </c>
      <c r="E44" s="18">
        <f>HLOOKUP($D$5,'4.1 Comptes 2022 natures'!$E$4:$BE$159,38,0)</f>
        <v>0</v>
      </c>
    </row>
    <row r="45" spans="2:5" x14ac:dyDescent="0.2">
      <c r="C45" s="8">
        <v>351</v>
      </c>
      <c r="D45" s="8" t="s">
        <v>107</v>
      </c>
      <c r="E45" s="18">
        <f>HLOOKUP($D$5,'4.1 Comptes 2022 natures'!$E$4:$BE$159,39,0)</f>
        <v>0</v>
      </c>
    </row>
    <row r="46" spans="2:5" x14ac:dyDescent="0.2">
      <c r="E46" s="13"/>
    </row>
    <row r="47" spans="2:5" ht="15" x14ac:dyDescent="0.25">
      <c r="B47" s="79">
        <v>36</v>
      </c>
      <c r="C47" s="79"/>
      <c r="D47" s="79" t="s">
        <v>109</v>
      </c>
      <c r="E47" s="80">
        <f>SUM(E48:E55)</f>
        <v>1804506.9100000001</v>
      </c>
    </row>
    <row r="48" spans="2:5" x14ac:dyDescent="0.2">
      <c r="C48" s="8">
        <v>360</v>
      </c>
      <c r="D48" s="8" t="s">
        <v>110</v>
      </c>
      <c r="E48" s="18">
        <f>HLOOKUP($D$5,'4.1 Comptes 2022 natures'!$E$4:$BE$159,42,0)</f>
        <v>6528.85</v>
      </c>
    </row>
    <row r="49" spans="2:5" x14ac:dyDescent="0.2">
      <c r="C49" s="8">
        <v>361</v>
      </c>
      <c r="D49" s="8" t="s">
        <v>111</v>
      </c>
      <c r="E49" s="18">
        <f>HLOOKUP($D$5,'4.1 Comptes 2022 natures'!$E$4:$BE$159,43,0)</f>
        <v>1491743.46</v>
      </c>
    </row>
    <row r="50" spans="2:5" x14ac:dyDescent="0.2">
      <c r="C50" s="8">
        <v>362</v>
      </c>
      <c r="D50" s="8" t="s">
        <v>112</v>
      </c>
      <c r="E50" s="18">
        <f>HLOOKUP($D$5,'4.1 Comptes 2022 natures'!$E$4:$BE$159,44,0)</f>
        <v>27562</v>
      </c>
    </row>
    <row r="51" spans="2:5" x14ac:dyDescent="0.2">
      <c r="C51" s="8">
        <v>363</v>
      </c>
      <c r="D51" s="8" t="s">
        <v>113</v>
      </c>
      <c r="E51" s="18">
        <f>HLOOKUP($D$5,'4.1 Comptes 2022 natures'!$E$4:$BE$159,45,0)</f>
        <v>278672.59999999998</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0</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95000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95000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3424657.7500000005</v>
      </c>
    </row>
    <row r="80" spans="1:5" ht="15" x14ac:dyDescent="0.25">
      <c r="A80" s="7"/>
      <c r="B80" s="81">
        <v>40</v>
      </c>
      <c r="C80" s="81"/>
      <c r="D80" s="81" t="s">
        <v>79</v>
      </c>
      <c r="E80" s="82">
        <f>SUM(E81:E84)</f>
        <v>2308448.0500000003</v>
      </c>
    </row>
    <row r="81" spans="2:5" x14ac:dyDescent="0.2">
      <c r="C81" s="8">
        <v>400</v>
      </c>
      <c r="D81" s="8" t="s">
        <v>137</v>
      </c>
      <c r="E81" s="18">
        <f>HLOOKUP($D$5,'4.1 Comptes 2022 natures'!$E$4:$BE$159,75,0)</f>
        <v>2080807.3</v>
      </c>
    </row>
    <row r="82" spans="2:5" x14ac:dyDescent="0.2">
      <c r="C82" s="8">
        <v>401</v>
      </c>
      <c r="D82" s="8" t="s">
        <v>138</v>
      </c>
      <c r="E82" s="18">
        <f>HLOOKUP($D$5,'4.1 Comptes 2022 natures'!$E$4:$BE$159,76,0)</f>
        <v>-10344.4</v>
      </c>
    </row>
    <row r="83" spans="2:5" x14ac:dyDescent="0.2">
      <c r="C83" s="8">
        <v>402</v>
      </c>
      <c r="D83" s="8" t="s">
        <v>139</v>
      </c>
      <c r="E83" s="18">
        <f>HLOOKUP($D$5,'4.1 Comptes 2022 natures'!$E$4:$BE$159,77,0)</f>
        <v>234255.15</v>
      </c>
    </row>
    <row r="84" spans="2:5" x14ac:dyDescent="0.2">
      <c r="C84" s="8">
        <v>403</v>
      </c>
      <c r="D84" s="8" t="s">
        <v>140</v>
      </c>
      <c r="E84" s="18">
        <f>HLOOKUP($D$5,'4.1 Comptes 2022 natures'!$E$4:$BE$159,78,0)</f>
        <v>3730</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913798.91</v>
      </c>
    </row>
    <row r="93" spans="2:5" x14ac:dyDescent="0.2">
      <c r="C93" s="8">
        <v>420</v>
      </c>
      <c r="D93" s="8" t="s">
        <v>147</v>
      </c>
      <c r="E93" s="18">
        <f>HLOOKUP($D$5,'4.1 Comptes 2022 natures'!$E$4:$BE$159,87,0)</f>
        <v>42662</v>
      </c>
    </row>
    <row r="94" spans="2:5" x14ac:dyDescent="0.2">
      <c r="C94" s="8">
        <v>421</v>
      </c>
      <c r="D94" s="8" t="s">
        <v>148</v>
      </c>
      <c r="E94" s="18">
        <f>HLOOKUP($D$5,'4.1 Comptes 2022 natures'!$E$4:$BE$159,88,0)</f>
        <v>19736.349999999999</v>
      </c>
    </row>
    <row r="95" spans="2:5" x14ac:dyDescent="0.2">
      <c r="C95" s="8">
        <v>422</v>
      </c>
      <c r="D95" s="8" t="s">
        <v>149</v>
      </c>
      <c r="E95" s="18">
        <f>HLOOKUP($D$5,'4.1 Comptes 2022 natures'!$E$4:$BE$159,89,0)</f>
        <v>0</v>
      </c>
    </row>
    <row r="96" spans="2:5" x14ac:dyDescent="0.2">
      <c r="C96" s="8">
        <v>423</v>
      </c>
      <c r="D96" s="8" t="s">
        <v>150</v>
      </c>
      <c r="E96" s="18">
        <f>HLOOKUP($D$5,'4.1 Comptes 2022 natures'!$E$4:$BE$159,90,0)</f>
        <v>0</v>
      </c>
    </row>
    <row r="97" spans="2:5" x14ac:dyDescent="0.2">
      <c r="C97" s="8">
        <v>424</v>
      </c>
      <c r="D97" s="8" t="s">
        <v>151</v>
      </c>
      <c r="E97" s="18">
        <f>HLOOKUP($D$5,'4.1 Comptes 2022 natures'!$E$4:$BE$159,91,0)</f>
        <v>715408.06</v>
      </c>
    </row>
    <row r="98" spans="2:5" x14ac:dyDescent="0.2">
      <c r="C98" s="8">
        <v>425</v>
      </c>
      <c r="D98" s="8" t="s">
        <v>152</v>
      </c>
      <c r="E98" s="18">
        <f>HLOOKUP($D$5,'4.1 Comptes 2022 natures'!$E$4:$BE$159,92,0)</f>
        <v>0</v>
      </c>
    </row>
    <row r="99" spans="2:5" x14ac:dyDescent="0.2">
      <c r="C99" s="8">
        <v>426</v>
      </c>
      <c r="D99" s="8" t="s">
        <v>153</v>
      </c>
      <c r="E99" s="18">
        <f>HLOOKUP($D$5,'4.1 Comptes 2022 natures'!$E$4:$BE$159,93,0)</f>
        <v>136152.5</v>
      </c>
    </row>
    <row r="100" spans="2:5" x14ac:dyDescent="0.2">
      <c r="C100" s="8">
        <v>427</v>
      </c>
      <c r="D100" s="8" t="s">
        <v>154</v>
      </c>
      <c r="E100" s="18">
        <f>HLOOKUP($D$5,'4.1 Comptes 2022 natures'!$E$4:$BE$159,94,0)</f>
        <v>0</v>
      </c>
    </row>
    <row r="101" spans="2:5" x14ac:dyDescent="0.2">
      <c r="C101" s="8">
        <v>429</v>
      </c>
      <c r="D101" s="8" t="s">
        <v>155</v>
      </c>
      <c r="E101" s="18">
        <f>HLOOKUP($D$5,'4.1 Comptes 2022 natures'!$E$4:$BE$159,95,0)</f>
        <v>-160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77582.929999999993</v>
      </c>
    </row>
    <row r="110" spans="2:5" x14ac:dyDescent="0.2">
      <c r="C110" s="8">
        <v>440</v>
      </c>
      <c r="D110" s="8" t="s">
        <v>162</v>
      </c>
      <c r="E110" s="18">
        <f>HLOOKUP($D$5,'4.1 Comptes 2022 natures'!$E$4:$BE$159,104,0)</f>
        <v>20475.93</v>
      </c>
    </row>
    <row r="111" spans="2:5" x14ac:dyDescent="0.2">
      <c r="C111" s="8">
        <v>441</v>
      </c>
      <c r="D111" s="8" t="s">
        <v>163</v>
      </c>
      <c r="E111" s="18">
        <f>HLOOKUP($D$5,'4.1 Comptes 2022 natures'!$E$4:$BE$159,105,0)</f>
        <v>0</v>
      </c>
    </row>
    <row r="112" spans="2:5" x14ac:dyDescent="0.2">
      <c r="C112" s="8">
        <v>442</v>
      </c>
      <c r="D112" s="8" t="s">
        <v>164</v>
      </c>
      <c r="E112" s="18">
        <f>HLOOKUP($D$5,'4.1 Comptes 2022 natures'!$E$4:$BE$159,106,0)</f>
        <v>325</v>
      </c>
    </row>
    <row r="113" spans="2:5" x14ac:dyDescent="0.2">
      <c r="C113" s="8">
        <v>443</v>
      </c>
      <c r="D113" s="8" t="s">
        <v>165</v>
      </c>
      <c r="E113" s="18">
        <f>HLOOKUP($D$5,'4.1 Comptes 2022 natures'!$E$4:$BE$159,107,0)</f>
        <v>43480</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13302</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1678.65</v>
      </c>
    </row>
    <row r="122" spans="2:5" x14ac:dyDescent="0.2">
      <c r="C122" s="8">
        <v>450</v>
      </c>
      <c r="D122" s="8" t="s">
        <v>171</v>
      </c>
      <c r="E122" s="18">
        <f>HLOOKUP($D$5,'4.1 Comptes 2022 natures'!$E$4:$BE$159,116,0)</f>
        <v>1678.65</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97049.209999999992</v>
      </c>
    </row>
    <row r="126" spans="2:5" x14ac:dyDescent="0.2">
      <c r="C126" s="8">
        <v>460</v>
      </c>
      <c r="D126" s="8" t="s">
        <v>175</v>
      </c>
      <c r="E126" s="18">
        <f>HLOOKUP($D$5,'4.1 Comptes 2022 natures'!$E$4:$BE$159,120,0)</f>
        <v>2521</v>
      </c>
    </row>
    <row r="127" spans="2:5" x14ac:dyDescent="0.2">
      <c r="C127" s="8">
        <v>461</v>
      </c>
      <c r="D127" s="8" t="s">
        <v>176</v>
      </c>
      <c r="E127" s="18">
        <f>HLOOKUP($D$5,'4.1 Comptes 2022 natures'!$E$4:$BE$159,121,0)</f>
        <v>43911.86</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50616.35</v>
      </c>
    </row>
    <row r="130" spans="2:5" x14ac:dyDescent="0.2">
      <c r="C130" s="8">
        <v>469</v>
      </c>
      <c r="D130" s="8" t="s">
        <v>178</v>
      </c>
      <c r="E130" s="18">
        <f>HLOOKUP($D$5,'4.1 Comptes 2022 natures'!$E$4:$BE$159,124,0)</f>
        <v>0</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26100</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26100</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269472.08999999997</v>
      </c>
    </row>
    <row r="158" spans="1:5" x14ac:dyDescent="0.2">
      <c r="C158" s="8">
        <v>900</v>
      </c>
      <c r="D158" s="8" t="s">
        <v>195</v>
      </c>
      <c r="E158" s="18">
        <f>HLOOKUP($D$5,'4.1 Comptes 2022 natures'!$E$4:$BE$159,152,0)</f>
        <v>100618.68</v>
      </c>
    </row>
    <row r="159" spans="1:5" x14ac:dyDescent="0.2">
      <c r="C159" s="8">
        <v>901</v>
      </c>
      <c r="D159" s="8" t="s">
        <v>196</v>
      </c>
      <c r="E159" s="18">
        <f>HLOOKUP($D$5,'4.1 Comptes 2022 natures'!$E$4:$BE$159,153,0)</f>
        <v>168853.41</v>
      </c>
    </row>
    <row r="160" spans="1:5" x14ac:dyDescent="0.2">
      <c r="E160" s="13"/>
    </row>
    <row r="161" spans="4:5" ht="15" x14ac:dyDescent="0.25">
      <c r="D161" s="7" t="s">
        <v>197</v>
      </c>
      <c r="E161" s="99">
        <f>HLOOKUP($D$5,'4.1 Comptes 2022 natures'!$E$4:$BE$159,155,0)</f>
        <v>269472.08999999997</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pane="topRight" activeCell="E1" sqref="E1"/>
      <selection pane="bottomLeft" activeCell="A4" sqref="A4"/>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2023-10-17T08:02:50Z</dcterms:modified>
</cp:coreProperties>
</file>