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10" activeTab="10"/>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9" i="49" l="1"/>
  <c r="E158" i="49"/>
  <c r="E147" i="49"/>
  <c r="E145" i="49"/>
  <c r="E151" i="49"/>
  <c r="E152" i="49"/>
  <c r="E136" i="49"/>
  <c r="E139" i="49"/>
  <c r="E141" i="49"/>
  <c r="E137" i="49"/>
  <c r="E142" i="49"/>
  <c r="E130" i="49"/>
  <c r="E129" i="49"/>
  <c r="E123" i="49"/>
  <c r="E113" i="49"/>
  <c r="E117" i="49"/>
  <c r="E114" i="49"/>
  <c r="E111" i="49"/>
  <c r="E115" i="49"/>
  <c r="E119" i="49"/>
  <c r="E106" i="49"/>
  <c r="E107" i="49"/>
  <c r="E105" i="49"/>
  <c r="E94" i="49"/>
  <c r="E93" i="49"/>
  <c r="E97" i="49"/>
  <c r="E101" i="49"/>
  <c r="E98" i="49"/>
  <c r="E100" i="49"/>
  <c r="E95" i="49"/>
  <c r="E99" i="49"/>
  <c r="E87" i="49"/>
  <c r="E89" i="49"/>
  <c r="E84" i="49"/>
  <c r="E81" i="49"/>
  <c r="E83" i="49"/>
  <c r="E71" i="49"/>
  <c r="E69" i="49"/>
  <c r="E73" i="49"/>
  <c r="E74" i="49"/>
  <c r="E76" i="49"/>
  <c r="E75" i="49"/>
  <c r="E61" i="49"/>
  <c r="E65" i="49"/>
  <c r="E63" i="49"/>
  <c r="E58" i="49"/>
  <c r="E57" i="49" s="1"/>
  <c r="E49" i="49"/>
  <c r="E55" i="49"/>
  <c r="E53" i="49"/>
  <c r="E51" i="49"/>
  <c r="E45" i="49"/>
  <c r="E37" i="49"/>
  <c r="E41" i="49"/>
  <c r="E39" i="49"/>
  <c r="E33" i="49"/>
  <c r="E25" i="49"/>
  <c r="E23" i="49"/>
  <c r="E21" i="49"/>
  <c r="E29" i="49"/>
  <c r="E27" i="49"/>
  <c r="E15" i="49"/>
  <c r="E13" i="49"/>
  <c r="E11" i="49"/>
  <c r="E17" i="49"/>
  <c r="E14" i="49"/>
  <c r="E148" i="49"/>
  <c r="E126" i="49"/>
  <c r="E122" i="49"/>
  <c r="E121" i="49" s="1"/>
  <c r="E112" i="49"/>
  <c r="E104" i="49"/>
  <c r="E82" i="49"/>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96" i="49"/>
  <c r="E116" i="49"/>
  <c r="E128" i="49"/>
  <c r="E138" i="49"/>
  <c r="E127" i="49"/>
  <c r="E133" i="49"/>
  <c r="E132" i="49" s="1"/>
  <c r="E140" i="49"/>
  <c r="E146" i="49"/>
  <c r="E150"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90" i="49"/>
  <c r="E64" i="49"/>
  <c r="E36" i="49"/>
  <c r="E40"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7" i="49" l="1"/>
  <c r="E68" i="49"/>
  <c r="E103" i="49"/>
  <c r="E92" i="49"/>
  <c r="E80" i="49"/>
  <c r="E86" i="49"/>
  <c r="E170" i="23"/>
  <c r="E125" i="49"/>
  <c r="C67" i="25"/>
  <c r="D42" i="27"/>
  <c r="C42" i="25"/>
  <c r="E47" i="49"/>
  <c r="E144" i="49"/>
  <c r="E135" i="49"/>
  <c r="E60" i="49"/>
  <c r="E19" i="49"/>
  <c r="E9" i="49"/>
  <c r="E109" i="49"/>
  <c r="AX160" i="23"/>
  <c r="AX161" i="23" s="1"/>
  <c r="AH160" i="23"/>
  <c r="AH161" i="23" s="1"/>
  <c r="E35"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1"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8" i="49"/>
  <c r="E79"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<sst xmlns="http://schemas.openxmlformats.org/spreadsheetml/2006/main" count="5442" uniqueCount="871">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</sst>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C6" sqref="C6"/>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H35" sqref="H3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tabSelected="1" workbookViewId="0">
      <selection activeCell="B30" sqref="B30"/>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C35" sqref="C35"/>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C35" sqref="C35"/>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C35" sqref="C35"/>
    </sheetView>
  </sheetViews>
  <sheetFormatPr baseColWidth="10" defaultRowHeight="14.25" x14ac:dyDescent="0.2"/>
  <cols>
    <col min="1" max="1" width="9.42578125" style="8" customWidth="1"/>
    <col min="2" max="2" width="3.28515625" style="8" customWidth="1"/>
    <col min="3" max="3" width="63.28515625" style="8" customWidth="1"/>
    <col min="4" max="4" width="15.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C35" sqref="C35"/>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726</v>
      </c>
    </row>
    <row r="5" spans="1:5" ht="15" thickBot="1" x14ac:dyDescent="0.25">
      <c r="B5" s="8" t="s">
        <v>587</v>
      </c>
    </row>
    <row r="6" spans="1:5" ht="15.75" thickBot="1" x14ac:dyDescent="0.3">
      <c r="B6" s="212" t="s">
        <v>49</v>
      </c>
      <c r="C6" s="213"/>
      <c r="D6" s="214"/>
    </row>
    <row r="8" spans="1:5" ht="15" x14ac:dyDescent="0.25">
      <c r="B8" s="100" t="s">
        <v>222</v>
      </c>
      <c r="C8" s="100"/>
      <c r="D8" s="100" t="s">
        <v>200</v>
      </c>
      <c r="E8" s="100" t="s">
        <v>201</v>
      </c>
    </row>
    <row r="9" spans="1:5" x14ac:dyDescent="0.2">
      <c r="B9" s="102">
        <v>90</v>
      </c>
      <c r="C9" s="106"/>
      <c r="D9" s="102" t="s">
        <v>194</v>
      </c>
      <c r="E9" s="103">
        <f>HLOOKUP($B$6,'4.1 Comptes 2022 natures'!$E$4:$BE$174,151,0)</f>
        <v>7224.1500000000233</v>
      </c>
    </row>
    <row r="10" spans="1:5" x14ac:dyDescent="0.2">
      <c r="B10" s="102">
        <v>33</v>
      </c>
      <c r="C10" s="106" t="s">
        <v>224</v>
      </c>
      <c r="D10" s="102" t="s">
        <v>97</v>
      </c>
      <c r="E10" s="103">
        <f>HLOOKUP($B$6,'4.1 Comptes 2022 natures'!$E$4:$BE$174,25,0)</f>
        <v>581198.1</v>
      </c>
    </row>
    <row r="11" spans="1:5" x14ac:dyDescent="0.2">
      <c r="B11" s="102">
        <v>35</v>
      </c>
      <c r="C11" s="106" t="s">
        <v>224</v>
      </c>
      <c r="D11" s="102" t="s">
        <v>226</v>
      </c>
      <c r="E11" s="103">
        <f>HLOOKUP($B$6,'4.1 Comptes 2022 natures'!$E$4:$BE$174,37,0)</f>
        <v>1391.7</v>
      </c>
    </row>
    <row r="12" spans="1:5" x14ac:dyDescent="0.2">
      <c r="B12" s="102">
        <v>45</v>
      </c>
      <c r="C12" s="106" t="s">
        <v>225</v>
      </c>
      <c r="D12" s="102" t="s">
        <v>173</v>
      </c>
      <c r="E12" s="103">
        <f>HLOOKUP($B$6,'4.1 Comptes 2022 natures'!$E$4:$BE$174,115,0)</f>
        <v>70983.350000000006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13000</v>
      </c>
    </row>
    <row r="15" spans="1:5" x14ac:dyDescent="0.2">
      <c r="B15" s="102">
        <v>366</v>
      </c>
      <c r="C15" s="106" t="s">
        <v>224</v>
      </c>
      <c r="D15" s="102" t="s">
        <v>231</v>
      </c>
      <c r="E15" s="103">
        <f>HLOOKUP($B$6,'4.1 Comptes 2022 natures'!$E$4:$BE$174,48,0)</f>
        <v>1597</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151597</v>
      </c>
    </row>
    <row r="19" spans="2:5" x14ac:dyDescent="0.2">
      <c r="B19" s="102"/>
      <c r="C19" s="106"/>
      <c r="D19" s="102"/>
      <c r="E19" s="103"/>
    </row>
    <row r="20" spans="2:5" ht="15" x14ac:dyDescent="0.25">
      <c r="B20" s="107"/>
      <c r="C20" s="107"/>
      <c r="D20" s="104" t="s">
        <v>228</v>
      </c>
      <c r="E20" s="105">
        <f>E9+E10+E11-E12+E13+E14+E15+E16-E17-E18</f>
        <v>381830.6</v>
      </c>
    </row>
    <row r="21" spans="2:5" x14ac:dyDescent="0.2">
      <c r="B21" s="102"/>
      <c r="C21" s="102"/>
      <c r="D21" s="102"/>
      <c r="E21" s="103"/>
    </row>
    <row r="22" spans="2:5" x14ac:dyDescent="0.2">
      <c r="B22" s="102" t="s">
        <v>223</v>
      </c>
      <c r="C22" s="108" t="s">
        <v>225</v>
      </c>
      <c r="D22" s="102" t="s">
        <v>229</v>
      </c>
      <c r="E22" s="109">
        <f>HLOOKUP($B$6,'6.1 Investissements'!$E$4:$BI$183,180,0)</f>
        <v>264388.7</v>
      </c>
    </row>
    <row r="23" spans="2:5" x14ac:dyDescent="0.2">
      <c r="B23" s="102"/>
      <c r="C23" s="102"/>
      <c r="D23" s="102"/>
      <c r="E23" s="103"/>
    </row>
    <row r="24" spans="2:5" ht="15" x14ac:dyDescent="0.25">
      <c r="B24" s="107"/>
      <c r="C24" s="107"/>
      <c r="D24" s="104" t="s">
        <v>230</v>
      </c>
      <c r="E24" s="105">
        <f>E20-E22</f>
        <v>117441.89999999997</v>
      </c>
    </row>
  </sheetData>
  <mergeCells count="1">
    <mergeCell ref="B6:D6"/>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C35" sqref="C35"/>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C35" sqref="C35"/>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C35" sqref="C35"/>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C6" sqref="C6"/>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09" t="s">
        <v>725</v>
      </c>
      <c r="H2" s="210"/>
      <c r="I2" s="210"/>
      <c r="J2" s="210"/>
      <c r="K2" s="211"/>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C35" sqref="C3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C35" sqref="C35"/>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C35" sqref="C35"/>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C35" sqref="C35"/>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C35" sqref="C3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C35" sqref="C35"/>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C35" sqref="C35"/>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15" t="s">
        <v>635</v>
      </c>
      <c r="B14" s="216"/>
      <c r="C14" s="216"/>
      <c r="D14" s="216"/>
      <c r="E14" s="216"/>
      <c r="F14" s="216"/>
      <c r="G14" s="216"/>
      <c r="H14" s="21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15" t="s">
        <v>647</v>
      </c>
      <c r="B24" s="216"/>
      <c r="C24" s="216"/>
      <c r="D24" s="216"/>
      <c r="E24" s="216"/>
      <c r="F24" s="216"/>
      <c r="G24" s="216"/>
      <c r="H24" s="21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15" t="s">
        <v>654</v>
      </c>
      <c r="B32" s="216"/>
      <c r="C32" s="216"/>
      <c r="D32" s="216"/>
      <c r="E32" s="216"/>
      <c r="F32" s="216"/>
      <c r="G32" s="216"/>
      <c r="H32" s="21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15" t="s">
        <v>664</v>
      </c>
      <c r="B42" s="216"/>
      <c r="C42" s="216"/>
      <c r="D42" s="216"/>
      <c r="E42" s="216"/>
      <c r="F42" s="216"/>
      <c r="G42" s="216"/>
      <c r="H42" s="21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15" t="s">
        <v>674</v>
      </c>
      <c r="B53" s="216"/>
      <c r="C53" s="216"/>
      <c r="D53" s="216"/>
      <c r="E53" s="216"/>
      <c r="F53" s="216"/>
      <c r="G53" s="216"/>
      <c r="H53" s="21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15" t="s">
        <v>682</v>
      </c>
      <c r="B62" s="216"/>
      <c r="C62" s="216"/>
      <c r="D62" s="216"/>
      <c r="E62" s="216"/>
      <c r="F62" s="216"/>
      <c r="G62" s="216"/>
      <c r="H62" s="21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15" t="s">
        <v>691</v>
      </c>
      <c r="B71" s="216"/>
      <c r="C71" s="216"/>
      <c r="D71" s="216"/>
      <c r="E71" s="216"/>
      <c r="F71" s="216"/>
      <c r="G71" s="216"/>
      <c r="H71" s="21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15" t="s">
        <v>703</v>
      </c>
      <c r="B81" s="216"/>
      <c r="C81" s="216"/>
      <c r="D81" s="216"/>
      <c r="E81" s="216"/>
      <c r="F81" s="216"/>
      <c r="G81" s="216"/>
      <c r="H81" s="21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15" t="s">
        <v>710</v>
      </c>
      <c r="B89" s="216"/>
      <c r="C89" s="216"/>
      <c r="D89" s="216"/>
      <c r="E89" s="216"/>
      <c r="F89" s="216"/>
      <c r="G89" s="216"/>
      <c r="H89" s="21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15" t="s">
        <v>718</v>
      </c>
      <c r="B98" s="216"/>
      <c r="C98" s="216"/>
      <c r="D98" s="216"/>
      <c r="E98" s="216"/>
      <c r="F98" s="216"/>
      <c r="G98" s="216"/>
      <c r="H98" s="21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C6" sqref="C6"/>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18" t="s">
        <v>491</v>
      </c>
      <c r="B2" s="218"/>
      <c r="C2" s="218"/>
      <c r="D2" s="218"/>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18" t="s">
        <v>491</v>
      </c>
      <c r="B2" s="218"/>
      <c r="C2" s="218"/>
      <c r="D2" s="218"/>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18" t="s">
        <v>491</v>
      </c>
      <c r="B2" s="218"/>
      <c r="C2" s="218"/>
      <c r="D2" s="218"/>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18" t="s">
        <v>491</v>
      </c>
      <c r="B2" s="218"/>
      <c r="C2" s="218"/>
      <c r="D2" s="21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18" t="s">
        <v>491</v>
      </c>
      <c r="B6" s="218"/>
      <c r="C6" s="218"/>
      <c r="D6" s="218"/>
    </row>
    <row r="7" spans="1:60" ht="15" thickBot="1" x14ac:dyDescent="0.25"/>
    <row r="8" spans="1:60" ht="15.75" thickBot="1" x14ac:dyDescent="0.3">
      <c r="A8" s="219" t="s">
        <v>562</v>
      </c>
      <c r="B8" s="220"/>
      <c r="C8" s="220"/>
      <c r="D8" s="22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35" sqref="C35"/>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18"/>
      <c r="B1" s="218"/>
      <c r="C1" s="218"/>
      <c r="D1" s="218"/>
    </row>
    <row r="2" spans="1:8" ht="18" x14ac:dyDescent="0.25">
      <c r="A2" s="225" t="s">
        <v>831</v>
      </c>
      <c r="B2" s="225"/>
      <c r="C2" s="225"/>
      <c r="D2" s="225"/>
      <c r="E2" s="218"/>
      <c r="F2" s="218"/>
      <c r="G2" s="218"/>
      <c r="H2" s="218"/>
    </row>
    <row r="3" spans="1:8" ht="18" x14ac:dyDescent="0.25">
      <c r="A3" s="193"/>
      <c r="B3" s="193"/>
      <c r="C3" s="193"/>
      <c r="D3" s="193"/>
      <c r="E3" s="193"/>
      <c r="F3" s="193"/>
      <c r="G3" s="193"/>
      <c r="H3" s="193"/>
    </row>
    <row r="4" spans="1:8" ht="15" thickBot="1" x14ac:dyDescent="0.25">
      <c r="B4" s="226" t="s">
        <v>782</v>
      </c>
      <c r="C4" s="226"/>
      <c r="D4" s="226"/>
    </row>
    <row r="5" spans="1:8" ht="15.75" thickBot="1" x14ac:dyDescent="0.3">
      <c r="A5" s="32" t="s">
        <v>569</v>
      </c>
      <c r="B5" s="212" t="s">
        <v>49</v>
      </c>
      <c r="C5" s="213"/>
      <c r="D5" s="214"/>
      <c r="F5" s="158"/>
    </row>
    <row r="6" spans="1:8" ht="15.75" thickBot="1" x14ac:dyDescent="0.3">
      <c r="E6" s="7"/>
      <c r="H6" s="165"/>
    </row>
    <row r="7" spans="1:8" ht="15.75" thickBot="1" x14ac:dyDescent="0.3">
      <c r="A7" s="222" t="s">
        <v>562</v>
      </c>
      <c r="B7" s="223"/>
      <c r="C7" s="223"/>
      <c r="D7" s="22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C35" sqref="C35"/>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C35" sqref="C3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C35" sqref="C35"/>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C35" sqref="C35"/>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C35" sqref="C35"/>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C35" sqref="C35"/>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C35" sqref="C35"/>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2" t="s">
        <v>740</v>
      </c>
      <c r="C6" s="213"/>
      <c r="D6" s="214"/>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C35" sqref="C3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C35" sqref="C35"/>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C35" sqref="C3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C6" sqref="C6"/>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C35" sqref="C35"/>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C35" sqref="C35"/>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C35" sqref="C3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C35" sqref="C35"/>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C35" sqref="C35"/>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C35" sqref="C35"/>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C35" sqref="C35"/>
      <selection pane="topRight" activeCell="C35" sqref="C35"/>
      <selection pane="bottomLeft" activeCell="C35" sqref="C35"/>
      <selection pane="bottomRight" activeCell="C35" sqref="C35"/>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C35" sqref="C3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C6" sqref="C6"/>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C35" sqref="C35"/>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C35" sqref="C3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C6" sqref="C6"/>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H35" sqref="H35"/>
      <selection pane="topRight" activeCell="H35" sqref="H35"/>
      <selection pane="bottomLeft" activeCell="H35" sqref="H35"/>
      <selection pane="bottomRight" activeCell="H35" sqref="H35"/>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H35" sqref="H35"/>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840</v>
      </c>
      <c r="B2" s="7"/>
      <c r="C2" s="7"/>
      <c r="D2" s="7"/>
    </row>
    <row r="4" spans="1:5" ht="15" thickBot="1" x14ac:dyDescent="0.25"/>
    <row r="5" spans="1:5" ht="15.75" thickBot="1" x14ac:dyDescent="0.3">
      <c r="A5" s="8" t="s">
        <v>627</v>
      </c>
      <c r="D5" s="96" t="s">
        <v>47</v>
      </c>
    </row>
    <row r="7" spans="1:5" ht="15" x14ac:dyDescent="0.25">
      <c r="E7" s="33" t="s">
        <v>201</v>
      </c>
    </row>
    <row r="8" spans="1:5" ht="20.25" x14ac:dyDescent="0.3">
      <c r="A8" s="11">
        <v>3</v>
      </c>
      <c r="B8" s="11"/>
      <c r="C8" s="11"/>
      <c r="D8" s="11" t="s">
        <v>60</v>
      </c>
      <c r="E8" s="97">
        <f>HLOOKUP($D$5,'4.9 Comptes 2022 par habitant'!$E$4:$BE$159,2,0)</f>
        <v>3797.0064705882351</v>
      </c>
    </row>
    <row r="9" spans="1:5" ht="15" x14ac:dyDescent="0.25">
      <c r="A9" s="79"/>
      <c r="B9" s="79">
        <v>30</v>
      </c>
      <c r="C9" s="79"/>
      <c r="D9" s="79" t="s">
        <v>61</v>
      </c>
      <c r="E9" s="80">
        <f>SUM(E10:E17)</f>
        <v>355.07879795396417</v>
      </c>
    </row>
    <row r="10" spans="1:5" x14ac:dyDescent="0.2">
      <c r="C10" s="8">
        <v>300</v>
      </c>
      <c r="D10" s="8" t="s">
        <v>80</v>
      </c>
      <c r="E10" s="18">
        <f>HLOOKUP($D$5,'4.9 Comptes 2022 par habitant'!$E$4:$BE$159,4,0)</f>
        <v>48.436700767263424</v>
      </c>
    </row>
    <row r="11" spans="1:5" x14ac:dyDescent="0.2">
      <c r="C11" s="8">
        <v>301</v>
      </c>
      <c r="D11" s="8" t="s">
        <v>81</v>
      </c>
      <c r="E11" s="18">
        <f>HLOOKUP($D$5,'4.9 Comptes 2022 par habitant'!$E$4:$BE$159,5,0)</f>
        <v>237.59079283887468</v>
      </c>
    </row>
    <row r="12" spans="1:5" x14ac:dyDescent="0.2">
      <c r="C12" s="8">
        <v>302</v>
      </c>
      <c r="D12" s="8" t="s">
        <v>82</v>
      </c>
      <c r="E12" s="18">
        <f>HLOOKUP($D$5,'4.9 Comptes 2022 par habitant'!$E$4:$BE$159,6,0)</f>
        <v>0</v>
      </c>
    </row>
    <row r="13" spans="1:5" x14ac:dyDescent="0.2">
      <c r="C13" s="8">
        <v>303</v>
      </c>
      <c r="D13" s="8" t="s">
        <v>83</v>
      </c>
      <c r="E13" s="18">
        <f>HLOOKUP($D$5,'4.9 Comptes 2022 par habitant'!$E$4:$BE$159,7,0)</f>
        <v>0</v>
      </c>
    </row>
    <row r="14" spans="1:5" x14ac:dyDescent="0.2">
      <c r="C14" s="8">
        <v>304</v>
      </c>
      <c r="D14" s="8" t="s">
        <v>578</v>
      </c>
      <c r="E14" s="18">
        <f>HLOOKUP($D$5,'4.9 Comptes 2022 par habitant'!$E$4:$BE$159,8,0)</f>
        <v>0</v>
      </c>
    </row>
    <row r="15" spans="1:5" x14ac:dyDescent="0.2">
      <c r="C15" s="8">
        <v>305</v>
      </c>
      <c r="D15" s="8" t="s">
        <v>84</v>
      </c>
      <c r="E15" s="18">
        <f>HLOOKUP($D$5,'4.9 Comptes 2022 par habitant'!$E$4:$BE$159,9,0)</f>
        <v>53.888388746803074</v>
      </c>
    </row>
    <row r="16" spans="1:5" x14ac:dyDescent="0.2">
      <c r="C16" s="8">
        <v>306</v>
      </c>
      <c r="D16" s="8" t="s">
        <v>85</v>
      </c>
      <c r="E16" s="18">
        <f>HLOOKUP($D$5,'4.9 Comptes 2022 par habitant'!$E$4:$BE$159,10,0)</f>
        <v>0</v>
      </c>
    </row>
    <row r="17" spans="2:5" x14ac:dyDescent="0.2">
      <c r="C17" s="8">
        <v>309</v>
      </c>
      <c r="D17" s="8" t="s">
        <v>86</v>
      </c>
      <c r="E17" s="18">
        <f>HLOOKUP($D$5,'4.9 Comptes 2022 par habitant'!$E$4:$BE$159,11,0)</f>
        <v>15.162915601023018</v>
      </c>
    </row>
    <row r="18" spans="2:5" x14ac:dyDescent="0.2">
      <c r="E18" s="13"/>
    </row>
    <row r="19" spans="2:5" ht="15" x14ac:dyDescent="0.25">
      <c r="B19" s="79">
        <v>31</v>
      </c>
      <c r="C19" s="79"/>
      <c r="D19" s="79" t="s">
        <v>87</v>
      </c>
      <c r="E19" s="80">
        <f>SUM(E20:E29)</f>
        <v>763.55023017902806</v>
      </c>
    </row>
    <row r="20" spans="2:5" x14ac:dyDescent="0.2">
      <c r="C20" s="8">
        <v>310</v>
      </c>
      <c r="D20" s="8" t="s">
        <v>88</v>
      </c>
      <c r="E20" s="18">
        <f>HLOOKUP($D$5,'4.9 Comptes 2022 par habitant'!$E$4:$BE$159,14,0)</f>
        <v>36.079667519181584</v>
      </c>
    </row>
    <row r="21" spans="2:5" x14ac:dyDescent="0.2">
      <c r="C21" s="8">
        <v>311</v>
      </c>
      <c r="D21" s="8" t="s">
        <v>449</v>
      </c>
      <c r="E21" s="18">
        <f>HLOOKUP($D$5,'4.9 Comptes 2022 par habitant'!$E$4:$BE$159,15,0)</f>
        <v>17.294373401534529</v>
      </c>
    </row>
    <row r="22" spans="2:5" x14ac:dyDescent="0.2">
      <c r="C22" s="8">
        <v>312</v>
      </c>
      <c r="D22" s="8" t="s">
        <v>90</v>
      </c>
      <c r="E22" s="18">
        <f>HLOOKUP($D$5,'4.9 Comptes 2022 par habitant'!$E$4:$BE$159,16,0)</f>
        <v>168.34386189258311</v>
      </c>
    </row>
    <row r="23" spans="2:5" x14ac:dyDescent="0.2">
      <c r="C23" s="8">
        <v>313</v>
      </c>
      <c r="D23" s="8" t="s">
        <v>91</v>
      </c>
      <c r="E23" s="18">
        <f>HLOOKUP($D$5,'4.9 Comptes 2022 par habitant'!$E$4:$BE$159,17,0)</f>
        <v>337.22895140664957</v>
      </c>
    </row>
    <row r="24" spans="2:5" x14ac:dyDescent="0.2">
      <c r="C24" s="8">
        <v>314</v>
      </c>
      <c r="D24" s="8" t="s">
        <v>841</v>
      </c>
      <c r="E24" s="18">
        <f>HLOOKUP($D$5,'4.9 Comptes 2022 par habitant'!$E$4:$BE$159,18,0)</f>
        <v>120.23498721227621</v>
      </c>
    </row>
    <row r="25" spans="2:5" x14ac:dyDescent="0.2">
      <c r="C25" s="8">
        <v>315</v>
      </c>
      <c r="D25" s="8" t="s">
        <v>92</v>
      </c>
      <c r="E25" s="18">
        <f>HLOOKUP($D$5,'4.9 Comptes 2022 par habitant'!$E$4:$BE$159,19,0)</f>
        <v>19.617391304347827</v>
      </c>
    </row>
    <row r="26" spans="2:5" x14ac:dyDescent="0.2">
      <c r="C26" s="8">
        <v>316</v>
      </c>
      <c r="D26" s="8" t="s">
        <v>93</v>
      </c>
      <c r="E26" s="18">
        <f>HLOOKUP($D$5,'4.9 Comptes 2022 par habitant'!$E$4:$BE$159,20,0)</f>
        <v>0</v>
      </c>
    </row>
    <row r="27" spans="2:5" x14ac:dyDescent="0.2">
      <c r="C27" s="8">
        <v>317</v>
      </c>
      <c r="D27" s="8" t="s">
        <v>94</v>
      </c>
      <c r="E27" s="18">
        <f>HLOOKUP($D$5,'4.9 Comptes 2022 par habitant'!$E$4:$BE$159,21,0)</f>
        <v>7.0352941176470596</v>
      </c>
    </row>
    <row r="28" spans="2:5" x14ac:dyDescent="0.2">
      <c r="C28" s="8">
        <v>318</v>
      </c>
      <c r="D28" s="8" t="s">
        <v>95</v>
      </c>
      <c r="E28" s="18">
        <f>HLOOKUP($D$5,'4.9 Comptes 2022 par habitant'!$E$4:$BE$159,22,0)</f>
        <v>51.390639386189264</v>
      </c>
    </row>
    <row r="29" spans="2:5" x14ac:dyDescent="0.2">
      <c r="C29" s="8">
        <v>319</v>
      </c>
      <c r="D29" s="8" t="s">
        <v>96</v>
      </c>
      <c r="E29" s="18">
        <f>HLOOKUP($D$5,'4.9 Comptes 2022 par habitant'!$E$4:$BE$159,23,0)</f>
        <v>6.3250639386189258</v>
      </c>
    </row>
    <row r="30" spans="2:5" x14ac:dyDescent="0.2">
      <c r="E30" s="13"/>
    </row>
    <row r="31" spans="2:5" ht="15" x14ac:dyDescent="0.25">
      <c r="B31" s="79">
        <v>33</v>
      </c>
      <c r="C31" s="79"/>
      <c r="D31" s="79" t="s">
        <v>97</v>
      </c>
      <c r="E31" s="80">
        <f>SUM(E32:E33)</f>
        <v>118.54219948849105</v>
      </c>
    </row>
    <row r="32" spans="2:5" x14ac:dyDescent="0.2">
      <c r="C32" s="8">
        <v>330</v>
      </c>
      <c r="D32" s="8" t="s">
        <v>99</v>
      </c>
      <c r="E32" s="18">
        <f>HLOOKUP($D$5,'4.9 Comptes 2022 par habitant'!$E$4:$BE$159,26,0)</f>
        <v>116.08695652173913</v>
      </c>
    </row>
    <row r="33" spans="2:5" x14ac:dyDescent="0.2">
      <c r="C33" s="8">
        <v>332</v>
      </c>
      <c r="D33" s="8" t="s">
        <v>98</v>
      </c>
      <c r="E33" s="18">
        <f>HLOOKUP($D$5,'4.9 Comptes 2022 par habitant'!$E$4:$BE$159,27,0)</f>
        <v>2.4552429667519182</v>
      </c>
    </row>
    <row r="34" spans="2:5" x14ac:dyDescent="0.2">
      <c r="E34" s="13"/>
    </row>
    <row r="35" spans="2:5" ht="15" x14ac:dyDescent="0.25">
      <c r="B35" s="79">
        <v>34</v>
      </c>
      <c r="C35" s="79"/>
      <c r="D35" s="79" t="s">
        <v>100</v>
      </c>
      <c r="E35" s="80">
        <f>SUM(E36:E41)</f>
        <v>61.193759590792837</v>
      </c>
    </row>
    <row r="36" spans="2:5" x14ac:dyDescent="0.2">
      <c r="C36" s="8">
        <v>340</v>
      </c>
      <c r="D36" s="8" t="s">
        <v>101</v>
      </c>
      <c r="E36" s="18">
        <f>HLOOKUP($D$5,'4.9 Comptes 2022 par habitant'!$E$4:$BE$159,30,0)</f>
        <v>48.360383631713553</v>
      </c>
    </row>
    <row r="37" spans="2:5" x14ac:dyDescent="0.2">
      <c r="C37" s="8">
        <v>341</v>
      </c>
      <c r="D37" s="8" t="s">
        <v>102</v>
      </c>
      <c r="E37" s="18">
        <f>HLOOKUP($D$5,'4.9 Comptes 2022 par habitant'!$E$4:$BE$159,31,0)</f>
        <v>0</v>
      </c>
    </row>
    <row r="38" spans="2:5" x14ac:dyDescent="0.2">
      <c r="C38" s="8">
        <v>342</v>
      </c>
      <c r="D38" s="8" t="s">
        <v>103</v>
      </c>
      <c r="E38" s="18">
        <f>HLOOKUP($D$5,'4.9 Comptes 2022 par habitant'!$E$4:$BE$159,32,0)</f>
        <v>0</v>
      </c>
    </row>
    <row r="39" spans="2:5" x14ac:dyDescent="0.2">
      <c r="C39" s="8">
        <v>343</v>
      </c>
      <c r="D39" s="8" t="s">
        <v>104</v>
      </c>
      <c r="E39" s="18">
        <f>HLOOKUP($D$5,'4.9 Comptes 2022 par habitant'!$E$4:$BE$159,33,0)</f>
        <v>12.833375959079286</v>
      </c>
    </row>
    <row r="40" spans="2:5" x14ac:dyDescent="0.2">
      <c r="C40" s="8">
        <v>344</v>
      </c>
      <c r="D40" s="8" t="s">
        <v>105</v>
      </c>
      <c r="E40" s="18">
        <f>HLOOKUP($D$5,'4.9 Comptes 2022 par habitant'!$E$4:$BE$159,34,0)</f>
        <v>0</v>
      </c>
    </row>
    <row r="41" spans="2:5" x14ac:dyDescent="0.2">
      <c r="C41" s="8">
        <v>349</v>
      </c>
      <c r="D41" s="8" t="s">
        <v>106</v>
      </c>
      <c r="E41" s="18">
        <f>HLOOKUP($D$5,'4.9 Comptes 2022 par habitant'!$E$4:$BE$159,35,0)</f>
        <v>0</v>
      </c>
    </row>
    <row r="42" spans="2:5" x14ac:dyDescent="0.2">
      <c r="E42" s="13"/>
    </row>
    <row r="43" spans="2:5" ht="15" x14ac:dyDescent="0.25">
      <c r="B43" s="79">
        <v>35</v>
      </c>
      <c r="C43" s="79"/>
      <c r="D43" s="79" t="s">
        <v>108</v>
      </c>
      <c r="E43" s="80">
        <f>SUM(E44:E45)</f>
        <v>2.9269565217391307</v>
      </c>
    </row>
    <row r="44" spans="2:5" x14ac:dyDescent="0.2">
      <c r="C44" s="8">
        <v>350</v>
      </c>
      <c r="D44" s="8" t="s">
        <v>108</v>
      </c>
      <c r="E44" s="18">
        <f>HLOOKUP($D$5,'4.9 Comptes 2022 par habitant'!$E$4:$BE$159,38,0)</f>
        <v>0</v>
      </c>
    </row>
    <row r="45" spans="2:5" x14ac:dyDescent="0.2">
      <c r="C45" s="8">
        <v>351</v>
      </c>
      <c r="D45" s="8" t="s">
        <v>107</v>
      </c>
      <c r="E45" s="18">
        <f>HLOOKUP($D$5,'4.9 Comptes 2022 par habitant'!$E$4:$BE$159,39,0)</f>
        <v>2.9269565217391307</v>
      </c>
    </row>
    <row r="46" spans="2:5" x14ac:dyDescent="0.2">
      <c r="E46" s="13"/>
    </row>
    <row r="47" spans="2:5" ht="15" x14ac:dyDescent="0.25">
      <c r="B47" s="79">
        <v>36</v>
      </c>
      <c r="C47" s="79"/>
      <c r="D47" s="79" t="s">
        <v>109</v>
      </c>
      <c r="E47" s="80">
        <f>SUM(E48:E55)</f>
        <v>2493.3615856777492</v>
      </c>
    </row>
    <row r="48" spans="2:5" x14ac:dyDescent="0.2">
      <c r="C48" s="8">
        <v>360</v>
      </c>
      <c r="D48" s="8" t="s">
        <v>110</v>
      </c>
      <c r="E48" s="18">
        <f>HLOOKUP($D$5,'4.9 Comptes 2022 par habitant'!$E$4:$BE$159,42,0)</f>
        <v>8.3759590792838878</v>
      </c>
    </row>
    <row r="49" spans="2:5" x14ac:dyDescent="0.2">
      <c r="C49" s="8">
        <v>361</v>
      </c>
      <c r="D49" s="8" t="s">
        <v>111</v>
      </c>
      <c r="E49" s="18">
        <f>HLOOKUP($D$5,'4.9 Comptes 2022 par habitant'!$E$4:$BE$159,43,0)</f>
        <v>1970.7810230179027</v>
      </c>
    </row>
    <row r="50" spans="2:5" x14ac:dyDescent="0.2">
      <c r="C50" s="8">
        <v>362</v>
      </c>
      <c r="D50" s="8" t="s">
        <v>112</v>
      </c>
      <c r="E50" s="18">
        <f>HLOOKUP($D$5,'4.9 Comptes 2022 par habitant'!$E$4:$BE$159,44,0)</f>
        <v>15.432225063938619</v>
      </c>
    </row>
    <row r="51" spans="2:5" x14ac:dyDescent="0.2">
      <c r="C51" s="8">
        <v>363</v>
      </c>
      <c r="D51" s="8" t="s">
        <v>113</v>
      </c>
      <c r="E51" s="18">
        <f>HLOOKUP($D$5,'4.9 Comptes 2022 par habitant'!$E$4:$BE$159,45,0)</f>
        <v>497.95652173913044</v>
      </c>
    </row>
    <row r="52" spans="2:5" x14ac:dyDescent="0.2">
      <c r="C52" s="8">
        <v>364</v>
      </c>
      <c r="D52" s="8" t="s">
        <v>114</v>
      </c>
      <c r="E52" s="18">
        <f>HLOOKUP($D$5,'4.9 Comptes 2022 par habitant'!$E$4:$BE$159,46,0)</f>
        <v>0</v>
      </c>
    </row>
    <row r="53" spans="2:5" x14ac:dyDescent="0.2">
      <c r="C53" s="8">
        <v>365</v>
      </c>
      <c r="D53" s="8" t="s">
        <v>115</v>
      </c>
      <c r="E53" s="18">
        <f>HLOOKUP($D$5,'4.9 Comptes 2022 par habitant'!$E$4:$BE$159,47,0)</f>
        <v>0</v>
      </c>
    </row>
    <row r="54" spans="2:5" x14ac:dyDescent="0.2">
      <c r="C54" s="8">
        <v>366</v>
      </c>
      <c r="D54" s="8" t="s">
        <v>116</v>
      </c>
      <c r="E54" s="18">
        <f>HLOOKUP($D$5,'4.9 Comptes 2022 par habitant'!$E$4:$BE$159,48,0)</f>
        <v>0.81585677749360619</v>
      </c>
    </row>
    <row r="55" spans="2:5" x14ac:dyDescent="0.2">
      <c r="C55" s="8">
        <v>369</v>
      </c>
      <c r="D55" s="8" t="s">
        <v>117</v>
      </c>
      <c r="E55" s="18">
        <f>HLOOKUP($D$5,'4.9 Comptes 2022 par habitant'!$E$4:$BE$159,49,0)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HLOOKUP($D$5,'4.9 Comptes 2022 par habitant'!$E$4:$BE$159,52,0)</f>
        <v>0</v>
      </c>
    </row>
    <row r="59" spans="2:5" x14ac:dyDescent="0.2">
      <c r="E59" s="13"/>
    </row>
    <row r="60" spans="2:5" ht="15" x14ac:dyDescent="0.25">
      <c r="B60" s="79">
        <v>38</v>
      </c>
      <c r="C60" s="79"/>
      <c r="D60" s="79" t="s">
        <v>120</v>
      </c>
      <c r="E60" s="80">
        <f>SUM(E61:E66)</f>
        <v>2.3529411764705883</v>
      </c>
    </row>
    <row r="61" spans="2:5" x14ac:dyDescent="0.2">
      <c r="C61" s="8">
        <v>380</v>
      </c>
      <c r="D61" s="8" t="s">
        <v>121</v>
      </c>
      <c r="E61" s="18">
        <f>HLOOKUP($D$5,'4.9 Comptes 2022 par habitant'!$E$4:$BE$159,55,0)</f>
        <v>0</v>
      </c>
    </row>
    <row r="62" spans="2:5" x14ac:dyDescent="0.2">
      <c r="C62" s="8">
        <v>381</v>
      </c>
      <c r="D62" s="8" t="s">
        <v>122</v>
      </c>
      <c r="E62" s="18">
        <f>HLOOKUP($D$5,'4.9 Comptes 2022 par habitant'!$E$4:$BE$159,56,0)</f>
        <v>0</v>
      </c>
    </row>
    <row r="63" spans="2:5" x14ac:dyDescent="0.2">
      <c r="C63" s="8">
        <v>384</v>
      </c>
      <c r="D63" s="8" t="s">
        <v>123</v>
      </c>
      <c r="E63" s="18">
        <f>HLOOKUP($D$5,'4.9 Comptes 2022 par habitant'!$E$4:$BE$159,57,0)</f>
        <v>0</v>
      </c>
    </row>
    <row r="64" spans="2:5" x14ac:dyDescent="0.2">
      <c r="C64" s="8">
        <v>385</v>
      </c>
      <c r="D64" s="8" t="s">
        <v>124</v>
      </c>
      <c r="E64" s="18">
        <f>HLOOKUP($D$5,'4.9 Comptes 2022 par habitant'!$E$4:$BE$159,58,0)</f>
        <v>0</v>
      </c>
    </row>
    <row r="65" spans="1:5" x14ac:dyDescent="0.2">
      <c r="C65" s="8">
        <v>386</v>
      </c>
      <c r="D65" s="8" t="s">
        <v>125</v>
      </c>
      <c r="E65" s="18">
        <f>HLOOKUP($D$5,'4.9 Comptes 2022 par habitant'!$E$4:$BE$159,59,0)</f>
        <v>0</v>
      </c>
    </row>
    <row r="66" spans="1:5" x14ac:dyDescent="0.2">
      <c r="C66" s="8">
        <v>389</v>
      </c>
      <c r="D66" s="8" t="s">
        <v>289</v>
      </c>
      <c r="E66" s="18">
        <f>HLOOKUP($D$5,'4.9 Comptes 2022 par habitant'!$E$4:$BE$159,60,0)</f>
        <v>2.3529411764705883</v>
      </c>
    </row>
    <row r="67" spans="1:5" x14ac:dyDescent="0.2">
      <c r="E67" s="13"/>
    </row>
    <row r="68" spans="1:5" ht="15" x14ac:dyDescent="0.25">
      <c r="B68" s="79">
        <v>39</v>
      </c>
      <c r="C68" s="79"/>
      <c r="D68" s="79" t="s">
        <v>127</v>
      </c>
      <c r="E68" s="80">
        <f>SUM(E69:E76)</f>
        <v>0</v>
      </c>
    </row>
    <row r="69" spans="1:5" x14ac:dyDescent="0.2">
      <c r="C69" s="8">
        <v>390</v>
      </c>
      <c r="D69" s="8" t="s">
        <v>128</v>
      </c>
      <c r="E69" s="18">
        <f>HLOOKUP($D$5,'4.9 Comptes 2022 par habitant'!$E$4:$BE$159,63,0)</f>
        <v>0</v>
      </c>
    </row>
    <row r="70" spans="1:5" x14ac:dyDescent="0.2">
      <c r="C70" s="8">
        <v>391</v>
      </c>
      <c r="D70" s="8" t="s">
        <v>129</v>
      </c>
      <c r="E70" s="18">
        <f>HLOOKUP($D$5,'4.9 Comptes 2022 par habitant'!$E$4:$BE$159,64,0)</f>
        <v>0</v>
      </c>
    </row>
    <row r="71" spans="1:5" x14ac:dyDescent="0.2">
      <c r="C71" s="8">
        <v>392</v>
      </c>
      <c r="D71" s="8" t="s">
        <v>130</v>
      </c>
      <c r="E71" s="18">
        <f>HLOOKUP($D$5,'4.9 Comptes 2022 par habitant'!$E$4:$BE$159,65,0)</f>
        <v>0</v>
      </c>
    </row>
    <row r="72" spans="1:5" x14ac:dyDescent="0.2">
      <c r="C72" s="8">
        <v>393</v>
      </c>
      <c r="D72" s="8" t="s">
        <v>131</v>
      </c>
      <c r="E72" s="18">
        <f>HLOOKUP($D$5,'4.9 Comptes 2022 par habitant'!$E$4:$BE$159,66,0)</f>
        <v>0</v>
      </c>
    </row>
    <row r="73" spans="1:5" x14ac:dyDescent="0.2">
      <c r="C73" s="8">
        <v>394</v>
      </c>
      <c r="D73" s="8" t="s">
        <v>132</v>
      </c>
      <c r="E73" s="18">
        <f>HLOOKUP($D$5,'4.9 Comptes 2022 par habitant'!$E$4:$BE$159,67,0)</f>
        <v>0</v>
      </c>
    </row>
    <row r="74" spans="1:5" x14ac:dyDescent="0.2">
      <c r="C74" s="8">
        <v>395</v>
      </c>
      <c r="D74" s="8" t="s">
        <v>133</v>
      </c>
      <c r="E74" s="18">
        <f>HLOOKUP($D$5,'4.9 Comptes 2022 par habitant'!$E$4:$BE$159,68,0)</f>
        <v>0</v>
      </c>
    </row>
    <row r="75" spans="1:5" x14ac:dyDescent="0.2">
      <c r="C75" s="8">
        <v>398</v>
      </c>
      <c r="D75" s="8" t="s">
        <v>134</v>
      </c>
      <c r="E75" s="18">
        <f>HLOOKUP($D$5,'4.9 Comptes 2022 par habitant'!$E$4:$BE$159,69,0)</f>
        <v>0</v>
      </c>
    </row>
    <row r="76" spans="1:5" x14ac:dyDescent="0.2">
      <c r="C76" s="8">
        <v>399</v>
      </c>
      <c r="D76" s="8" t="s">
        <v>135</v>
      </c>
      <c r="E76" s="18">
        <f>HLOOKUP($D$5,'4.9 Comptes 2022 par habitant'!$E$4:$BE$159,70,0)</f>
        <v>0</v>
      </c>
    </row>
    <row r="77" spans="1:5" x14ac:dyDescent="0.2">
      <c r="E77" s="13"/>
    </row>
    <row r="78" spans="1:5" x14ac:dyDescent="0.2">
      <c r="E78" s="13"/>
    </row>
    <row r="79" spans="1:5" ht="20.25" x14ac:dyDescent="0.3">
      <c r="A79" s="14">
        <v>4</v>
      </c>
      <c r="B79" s="14"/>
      <c r="C79" s="14"/>
      <c r="D79" s="14" t="s">
        <v>136</v>
      </c>
      <c r="E79" s="98">
        <f>HLOOKUP($D$5,'4.9 Comptes 2022 par habitant'!$E$4:$BE$159,73,0)</f>
        <v>4132.501713554987</v>
      </c>
    </row>
    <row r="80" spans="1:5" ht="15" x14ac:dyDescent="0.25">
      <c r="A80" s="7"/>
      <c r="B80" s="81">
        <v>40</v>
      </c>
      <c r="C80" s="81"/>
      <c r="D80" s="81" t="s">
        <v>79</v>
      </c>
      <c r="E80" s="82">
        <f>SUM(E81:E84)</f>
        <v>2196.6719437340153</v>
      </c>
    </row>
    <row r="81" spans="2:5" x14ac:dyDescent="0.2">
      <c r="C81" s="8">
        <v>400</v>
      </c>
      <c r="D81" s="8" t="s">
        <v>137</v>
      </c>
      <c r="E81" s="18">
        <f>HLOOKUP($D$5,'4.9 Comptes 2022 par habitant'!$E$4:$BE$159,75,0)</f>
        <v>1774.0862659846546</v>
      </c>
    </row>
    <row r="82" spans="2:5" x14ac:dyDescent="0.2">
      <c r="C82" s="8">
        <v>401</v>
      </c>
      <c r="D82" s="8" t="s">
        <v>138</v>
      </c>
      <c r="E82" s="18">
        <f>HLOOKUP($D$5,'4.9 Comptes 2022 par habitant'!$E$4:$BE$159,76,0)</f>
        <v>41.110997442455243</v>
      </c>
    </row>
    <row r="83" spans="2:5" x14ac:dyDescent="0.2">
      <c r="C83" s="8">
        <v>402</v>
      </c>
      <c r="D83" s="8" t="s">
        <v>139</v>
      </c>
      <c r="E83" s="18">
        <f>HLOOKUP($D$5,'4.9 Comptes 2022 par habitant'!$E$4:$BE$159,77,0)</f>
        <v>342.85166240409205</v>
      </c>
    </row>
    <row r="84" spans="2:5" x14ac:dyDescent="0.2">
      <c r="C84" s="8">
        <v>403</v>
      </c>
      <c r="D84" s="8" t="s">
        <v>140</v>
      </c>
      <c r="E84" s="18">
        <f>HLOOKUP($D$5,'4.9 Comptes 2022 par habitant'!$E$4:$BE$159,78,0)</f>
        <v>38.623017902813302</v>
      </c>
    </row>
    <row r="85" spans="2:5" x14ac:dyDescent="0.2">
      <c r="E85" s="13"/>
    </row>
    <row r="86" spans="2:5" ht="15" x14ac:dyDescent="0.25">
      <c r="B86" s="81">
        <v>41</v>
      </c>
      <c r="C86" s="81"/>
      <c r="D86" s="81" t="s">
        <v>141</v>
      </c>
      <c r="E86" s="82">
        <f>SUM(E87:E90)</f>
        <v>0</v>
      </c>
    </row>
    <row r="87" spans="2:5" x14ac:dyDescent="0.2">
      <c r="C87" s="8">
        <v>410</v>
      </c>
      <c r="D87" s="8" t="s">
        <v>142</v>
      </c>
      <c r="E87" s="18">
        <f>HLOOKUP($D$5,'4.9 Comptes 2022 par habitant'!$E$4:$BE$159,81,0)</f>
        <v>0</v>
      </c>
    </row>
    <row r="88" spans="2:5" x14ac:dyDescent="0.2">
      <c r="C88" s="8">
        <v>411</v>
      </c>
      <c r="D88" s="8" t="s">
        <v>143</v>
      </c>
      <c r="E88" s="18">
        <f>HLOOKUP($D$5,'4.9 Comptes 2022 par habitant'!$E$4:$BE$159,82,0)</f>
        <v>0</v>
      </c>
    </row>
    <row r="89" spans="2:5" x14ac:dyDescent="0.2">
      <c r="C89" s="8">
        <v>412</v>
      </c>
      <c r="D89" s="8" t="s">
        <v>144</v>
      </c>
      <c r="E89" s="18">
        <f>HLOOKUP($D$5,'4.9 Comptes 2022 par habitant'!$E$4:$BE$159,83,0)</f>
        <v>0</v>
      </c>
    </row>
    <row r="90" spans="2:5" x14ac:dyDescent="0.2">
      <c r="C90" s="8">
        <v>413</v>
      </c>
      <c r="D90" s="8" t="s">
        <v>145</v>
      </c>
      <c r="E90" s="18">
        <f>HLOOKUP($D$5,'4.9 Comptes 2022 par habitant'!$E$4:$BE$159,84,0)</f>
        <v>0</v>
      </c>
    </row>
    <row r="91" spans="2:5" x14ac:dyDescent="0.2">
      <c r="E91" s="13"/>
    </row>
    <row r="92" spans="2:5" ht="15" x14ac:dyDescent="0.25">
      <c r="B92" s="81">
        <v>42</v>
      </c>
      <c r="C92" s="81"/>
      <c r="D92" s="81" t="s">
        <v>146</v>
      </c>
      <c r="E92" s="82">
        <f>SUM(E93:E101)</f>
        <v>856.90575447570347</v>
      </c>
    </row>
    <row r="93" spans="2:5" x14ac:dyDescent="0.2">
      <c r="C93" s="8">
        <v>420</v>
      </c>
      <c r="D93" s="8" t="s">
        <v>147</v>
      </c>
      <c r="E93" s="18">
        <f>HLOOKUP($D$5,'4.9 Comptes 2022 par habitant'!$E$4:$BE$159,87,0)</f>
        <v>17.571355498721228</v>
      </c>
    </row>
    <row r="94" spans="2:5" x14ac:dyDescent="0.2">
      <c r="C94" s="8">
        <v>421</v>
      </c>
      <c r="D94" s="8" t="s">
        <v>148</v>
      </c>
      <c r="E94" s="18">
        <f>HLOOKUP($D$5,'4.9 Comptes 2022 par habitant'!$E$4:$BE$159,88,0)</f>
        <v>11.241048593350383</v>
      </c>
    </row>
    <row r="95" spans="2:5" x14ac:dyDescent="0.2">
      <c r="C95" s="8">
        <v>422</v>
      </c>
      <c r="D95" s="8" t="s">
        <v>149</v>
      </c>
      <c r="E95" s="18">
        <f>HLOOKUP($D$5,'4.9 Comptes 2022 par habitant'!$E$4:$BE$159,89,0)</f>
        <v>0</v>
      </c>
    </row>
    <row r="96" spans="2:5" x14ac:dyDescent="0.2">
      <c r="C96" s="8">
        <v>423</v>
      </c>
      <c r="D96" s="8" t="s">
        <v>150</v>
      </c>
      <c r="E96" s="18">
        <f>HLOOKUP($D$5,'4.9 Comptes 2022 par habitant'!$E$4:$BE$159,90,0)</f>
        <v>22.022506393861892</v>
      </c>
    </row>
    <row r="97" spans="2:5" x14ac:dyDescent="0.2">
      <c r="C97" s="8">
        <v>424</v>
      </c>
      <c r="D97" s="8" t="s">
        <v>151</v>
      </c>
      <c r="E97" s="18">
        <f>HLOOKUP($D$5,'4.9 Comptes 2022 par habitant'!$E$4:$BE$159,91,0)</f>
        <v>725.30984654731469</v>
      </c>
    </row>
    <row r="98" spans="2:5" x14ac:dyDescent="0.2">
      <c r="C98" s="8">
        <v>425</v>
      </c>
      <c r="D98" s="8" t="s">
        <v>152</v>
      </c>
      <c r="E98" s="18">
        <f>HLOOKUP($D$5,'4.9 Comptes 2022 par habitant'!$E$4:$BE$159,92,0)</f>
        <v>13.00383631713555</v>
      </c>
    </row>
    <row r="99" spans="2:5" x14ac:dyDescent="0.2">
      <c r="C99" s="8">
        <v>426</v>
      </c>
      <c r="D99" s="8" t="s">
        <v>153</v>
      </c>
      <c r="E99" s="18">
        <f>HLOOKUP($D$5,'4.9 Comptes 2022 par habitant'!$E$4:$BE$159,93,0)</f>
        <v>67.757161125319698</v>
      </c>
    </row>
    <row r="100" spans="2:5" x14ac:dyDescent="0.2">
      <c r="C100" s="8">
        <v>427</v>
      </c>
      <c r="D100" s="8" t="s">
        <v>154</v>
      </c>
      <c r="E100" s="18">
        <f>HLOOKUP($D$5,'4.9 Comptes 2022 par habitant'!$E$4:$BE$159,94,0)</f>
        <v>0</v>
      </c>
    </row>
    <row r="101" spans="2:5" x14ac:dyDescent="0.2">
      <c r="C101" s="8">
        <v>429</v>
      </c>
      <c r="D101" s="8" t="s">
        <v>155</v>
      </c>
      <c r="E101" s="18">
        <f>HLOOKUP($D$5,'4.9 Comptes 2022 par habitant'!$E$4:$BE$159,95,0)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HLOOKUP($D$5,'4.9 Comptes 2022 par habitant'!$E$4:$BE$159,98,0)</f>
        <v>0</v>
      </c>
    </row>
    <row r="105" spans="2:5" x14ac:dyDescent="0.2">
      <c r="C105" s="8">
        <v>431</v>
      </c>
      <c r="D105" s="8" t="s">
        <v>158</v>
      </c>
      <c r="E105" s="18">
        <f>HLOOKUP($D$5,'4.9 Comptes 2022 par habitant'!$E$4:$BE$159,99,0)</f>
        <v>0</v>
      </c>
    </row>
    <row r="106" spans="2:5" x14ac:dyDescent="0.2">
      <c r="C106" s="8">
        <v>432</v>
      </c>
      <c r="D106" s="8" t="s">
        <v>159</v>
      </c>
      <c r="E106" s="18">
        <f>HLOOKUP($D$5,'4.9 Comptes 2022 par habitant'!$E$4:$BE$159,100,0)</f>
        <v>0</v>
      </c>
    </row>
    <row r="107" spans="2:5" x14ac:dyDescent="0.2">
      <c r="C107" s="8">
        <v>439</v>
      </c>
      <c r="D107" s="8" t="s">
        <v>160</v>
      </c>
      <c r="E107" s="18">
        <f>HLOOKUP($D$5,'4.9 Comptes 2022 par habitant'!$E$4:$BE$159,101,0)</f>
        <v>0</v>
      </c>
    </row>
    <row r="108" spans="2:5" x14ac:dyDescent="0.2">
      <c r="E108" s="13"/>
    </row>
    <row r="109" spans="2:5" ht="15" x14ac:dyDescent="0.25">
      <c r="B109" s="81">
        <v>44</v>
      </c>
      <c r="C109" s="81"/>
      <c r="D109" s="81" t="s">
        <v>161</v>
      </c>
      <c r="E109" s="82">
        <f>SUM(E110:E119)</f>
        <v>120.05739130434783</v>
      </c>
    </row>
    <row r="110" spans="2:5" x14ac:dyDescent="0.2">
      <c r="C110" s="8">
        <v>440</v>
      </c>
      <c r="D110" s="8" t="s">
        <v>162</v>
      </c>
      <c r="E110" s="18">
        <f>HLOOKUP($D$5,'4.9 Comptes 2022 par habitant'!$E$4:$BE$159,104,0)</f>
        <v>30.005856777493609</v>
      </c>
    </row>
    <row r="111" spans="2:5" x14ac:dyDescent="0.2">
      <c r="C111" s="8">
        <v>441</v>
      </c>
      <c r="D111" s="8" t="s">
        <v>163</v>
      </c>
      <c r="E111" s="18">
        <f>HLOOKUP($D$5,'4.9 Comptes 2022 par habitant'!$E$4:$BE$159,105,0)</f>
        <v>0</v>
      </c>
    </row>
    <row r="112" spans="2:5" x14ac:dyDescent="0.2">
      <c r="C112" s="8">
        <v>442</v>
      </c>
      <c r="D112" s="8" t="s">
        <v>164</v>
      </c>
      <c r="E112" s="18">
        <f>HLOOKUP($D$5,'4.9 Comptes 2022 par habitant'!$E$4:$BE$159,106,0)</f>
        <v>0</v>
      </c>
    </row>
    <row r="113" spans="2:5" x14ac:dyDescent="0.2">
      <c r="C113" s="8">
        <v>443</v>
      </c>
      <c r="D113" s="8" t="s">
        <v>165</v>
      </c>
      <c r="E113" s="18">
        <f>HLOOKUP($D$5,'4.9 Comptes 2022 par habitant'!$E$4:$BE$159,107,0)</f>
        <v>85.447953964194383</v>
      </c>
    </row>
    <row r="114" spans="2:5" x14ac:dyDescent="0.2">
      <c r="C114" s="8">
        <v>444</v>
      </c>
      <c r="D114" s="8" t="s">
        <v>105</v>
      </c>
      <c r="E114" s="18">
        <f>HLOOKUP($D$5,'4.9 Comptes 2022 par habitant'!$E$4:$BE$159,108,0)</f>
        <v>0.10230179028132992</v>
      </c>
    </row>
    <row r="115" spans="2:5" x14ac:dyDescent="0.2">
      <c r="C115" s="8">
        <v>445</v>
      </c>
      <c r="D115" s="8" t="s">
        <v>166</v>
      </c>
      <c r="E115" s="18">
        <f>HLOOKUP($D$5,'4.9 Comptes 2022 par habitant'!$E$4:$BE$159,109,0)</f>
        <v>0</v>
      </c>
    </row>
    <row r="116" spans="2:5" x14ac:dyDescent="0.2">
      <c r="C116" s="8">
        <v>446</v>
      </c>
      <c r="D116" s="8" t="s">
        <v>167</v>
      </c>
      <c r="E116" s="18">
        <f>HLOOKUP($D$5,'4.9 Comptes 2022 par habitant'!$E$4:$BE$159,110,0)</f>
        <v>0</v>
      </c>
    </row>
    <row r="117" spans="2:5" x14ac:dyDescent="0.2">
      <c r="C117" s="8">
        <v>447</v>
      </c>
      <c r="D117" s="8" t="s">
        <v>168</v>
      </c>
      <c r="E117" s="18">
        <f>HLOOKUP($D$5,'4.9 Comptes 2022 par habitant'!$E$4:$BE$159,111,0)</f>
        <v>4.2199488491048589</v>
      </c>
    </row>
    <row r="118" spans="2:5" x14ac:dyDescent="0.2">
      <c r="C118" s="8">
        <v>448</v>
      </c>
      <c r="D118" s="8" t="s">
        <v>169</v>
      </c>
      <c r="E118" s="18">
        <f>HLOOKUP($D$5,'4.9 Comptes 2022 par habitant'!$E$4:$BE$159,112,0)</f>
        <v>0</v>
      </c>
    </row>
    <row r="119" spans="2:5" x14ac:dyDescent="0.2">
      <c r="C119" s="8">
        <v>449</v>
      </c>
      <c r="D119" s="8" t="s">
        <v>170</v>
      </c>
      <c r="E119" s="18">
        <f>HLOOKUP($D$5,'4.9 Comptes 2022 par habitant'!$E$4:$BE$159,113,0)</f>
        <v>0.2813299232736573</v>
      </c>
    </row>
    <row r="120" spans="2:5" x14ac:dyDescent="0.2">
      <c r="E120" s="13"/>
    </row>
    <row r="121" spans="2:5" ht="15" x14ac:dyDescent="0.25">
      <c r="B121" s="81">
        <v>45</v>
      </c>
      <c r="C121" s="81"/>
      <c r="D121" s="81" t="s">
        <v>173</v>
      </c>
      <c r="E121" s="82">
        <f>SUM(E122:E123)</f>
        <v>11.508951406649617</v>
      </c>
    </row>
    <row r="122" spans="2:5" x14ac:dyDescent="0.2">
      <c r="C122" s="8">
        <v>450</v>
      </c>
      <c r="D122" s="8" t="s">
        <v>171</v>
      </c>
      <c r="E122" s="18">
        <f>HLOOKUP($D$5,'4.9 Comptes 2022 par habitant'!$E$4:$BE$159,116,0)</f>
        <v>0</v>
      </c>
    </row>
    <row r="123" spans="2:5" x14ac:dyDescent="0.2">
      <c r="C123" s="8">
        <v>451</v>
      </c>
      <c r="D123" s="8" t="s">
        <v>172</v>
      </c>
      <c r="E123" s="18">
        <f>HLOOKUP($D$5,'4.9 Comptes 2022 par habitant'!$E$4:$BE$159,117,0)</f>
        <v>11.508951406649617</v>
      </c>
    </row>
    <row r="124" spans="2:5" x14ac:dyDescent="0.2">
      <c r="E124" s="13"/>
    </row>
    <row r="125" spans="2:5" ht="15" x14ac:dyDescent="0.25">
      <c r="B125" s="81">
        <v>46</v>
      </c>
      <c r="C125" s="81"/>
      <c r="D125" s="81" t="s">
        <v>174</v>
      </c>
      <c r="E125" s="82">
        <f>SUM(E126:E130)</f>
        <v>946.54181585677748</v>
      </c>
    </row>
    <row r="126" spans="2:5" x14ac:dyDescent="0.2">
      <c r="C126" s="8">
        <v>460</v>
      </c>
      <c r="D126" s="8" t="s">
        <v>175</v>
      </c>
      <c r="E126" s="18">
        <f>HLOOKUP($D$5,'4.9 Comptes 2022 par habitant'!$E$4:$BE$159,120,0)</f>
        <v>1.4884910485933505</v>
      </c>
    </row>
    <row r="127" spans="2:5" x14ac:dyDescent="0.2">
      <c r="C127" s="8">
        <v>461</v>
      </c>
      <c r="D127" s="8" t="s">
        <v>176</v>
      </c>
      <c r="E127" s="18">
        <f>HLOOKUP($D$5,'4.9 Comptes 2022 par habitant'!$E$4:$BE$159,121,0)</f>
        <v>466.7410485933504</v>
      </c>
    </row>
    <row r="128" spans="2:5" x14ac:dyDescent="0.2">
      <c r="C128" s="8">
        <v>462</v>
      </c>
      <c r="D128" s="8" t="s">
        <v>112</v>
      </c>
      <c r="E128" s="18">
        <f>HLOOKUP($D$5,'4.9 Comptes 2022 par habitant'!$E$4:$BE$159,122,0)</f>
        <v>376.96675191815859</v>
      </c>
    </row>
    <row r="129" spans="2:5" x14ac:dyDescent="0.2">
      <c r="C129" s="8">
        <v>463</v>
      </c>
      <c r="D129" s="8" t="s">
        <v>177</v>
      </c>
      <c r="E129" s="18">
        <f>HLOOKUP($D$5,'4.9 Comptes 2022 par habitant'!$E$4:$BE$159,123,0)</f>
        <v>101.12800511508952</v>
      </c>
    </row>
    <row r="130" spans="2:5" x14ac:dyDescent="0.2">
      <c r="C130" s="8">
        <v>469</v>
      </c>
      <c r="D130" s="8" t="s">
        <v>178</v>
      </c>
      <c r="E130" s="18">
        <f>HLOOKUP($D$5,'4.9 Comptes 2022 par habitant'!$E$4:$BE$159,124,0)</f>
        <v>0.21751918158567773</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HLOOKUP($D$5,'4.9 Comptes 2022 par habitant'!$E$4:$BE$159,127,0)</f>
        <v>0</v>
      </c>
    </row>
    <row r="134" spans="2:5" x14ac:dyDescent="0.2">
      <c r="E134" s="13"/>
    </row>
    <row r="135" spans="2:5" ht="15" x14ac:dyDescent="0.25">
      <c r="B135" s="81">
        <v>48</v>
      </c>
      <c r="C135" s="81"/>
      <c r="D135" s="81" t="s">
        <v>180</v>
      </c>
      <c r="E135" s="82">
        <f>SUM(E136:E142)</f>
        <v>0.81585677749360619</v>
      </c>
    </row>
    <row r="136" spans="2:5" x14ac:dyDescent="0.2">
      <c r="C136" s="8">
        <v>481</v>
      </c>
      <c r="D136" s="8" t="s">
        <v>181</v>
      </c>
      <c r="E136" s="18">
        <f>HLOOKUP($D$5,'4.9 Comptes 2022 par habitant'!$E$4:$BE$159,130,0)</f>
        <v>0</v>
      </c>
    </row>
    <row r="137" spans="2:5" x14ac:dyDescent="0.2">
      <c r="C137" s="8">
        <v>482</v>
      </c>
      <c r="D137" s="8" t="s">
        <v>182</v>
      </c>
      <c r="E137" s="18">
        <f>HLOOKUP($D$5,'4.9 Comptes 2022 par habitant'!$E$4:$BE$159,131,0)</f>
        <v>0</v>
      </c>
    </row>
    <row r="138" spans="2:5" x14ac:dyDescent="0.2">
      <c r="C138" s="8">
        <v>483</v>
      </c>
      <c r="D138" s="8" t="s">
        <v>183</v>
      </c>
      <c r="E138" s="18">
        <f>HLOOKUP($D$5,'4.9 Comptes 2022 par habitant'!$E$4:$BE$159,132,0)</f>
        <v>0</v>
      </c>
    </row>
    <row r="139" spans="2:5" x14ac:dyDescent="0.2">
      <c r="C139" s="8">
        <v>484</v>
      </c>
      <c r="D139" s="8" t="s">
        <v>184</v>
      </c>
      <c r="E139" s="18">
        <f>HLOOKUP($D$5,'4.9 Comptes 2022 par habitant'!$E$4:$BE$159,133,0)</f>
        <v>0</v>
      </c>
    </row>
    <row r="140" spans="2:5" x14ac:dyDescent="0.2">
      <c r="C140" s="8">
        <v>485</v>
      </c>
      <c r="D140" s="8" t="s">
        <v>185</v>
      </c>
      <c r="E140" s="18">
        <f>HLOOKUP($D$5,'4.9 Comptes 2022 par habitant'!$E$4:$BE$159,134,0)</f>
        <v>0</v>
      </c>
    </row>
    <row r="141" spans="2:5" x14ac:dyDescent="0.2">
      <c r="C141" s="8">
        <v>486</v>
      </c>
      <c r="D141" s="8" t="s">
        <v>186</v>
      </c>
      <c r="E141" s="18">
        <f>HLOOKUP($D$5,'4.9 Comptes 2022 par habitant'!$E$4:$BE$159,135,0)</f>
        <v>0</v>
      </c>
    </row>
    <row r="142" spans="2:5" x14ac:dyDescent="0.2">
      <c r="C142" s="8">
        <v>489</v>
      </c>
      <c r="D142" s="8" t="s">
        <v>187</v>
      </c>
      <c r="E142" s="18">
        <f>HLOOKUP($D$5,'4.9 Comptes 2022 par habitant'!$E$4:$BE$159,136,0)</f>
        <v>0.81585677749360619</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HLOOKUP($D$5,'4.9 Comptes 2022 par habitant'!$E$4:$BE$159,139,0)</f>
        <v>0</v>
      </c>
    </row>
    <row r="146" spans="1:5" x14ac:dyDescent="0.2">
      <c r="C146" s="8">
        <v>491</v>
      </c>
      <c r="D146" s="8" t="s">
        <v>129</v>
      </c>
      <c r="E146" s="18">
        <f>HLOOKUP($D$5,'4.9 Comptes 2022 par habitant'!$E$4:$BE$159,140,0)</f>
        <v>0</v>
      </c>
    </row>
    <row r="147" spans="1:5" x14ac:dyDescent="0.2">
      <c r="C147" s="8">
        <v>492</v>
      </c>
      <c r="D147" s="8" t="s">
        <v>188</v>
      </c>
      <c r="E147" s="18">
        <f>HLOOKUP($D$5,'4.9 Comptes 2022 par habitant'!$E$4:$BE$159,141,0)</f>
        <v>0</v>
      </c>
    </row>
    <row r="148" spans="1:5" x14ac:dyDescent="0.2">
      <c r="C148" s="8">
        <v>493</v>
      </c>
      <c r="D148" s="8" t="s">
        <v>189</v>
      </c>
      <c r="E148" s="18">
        <f>HLOOKUP($D$5,'4.9 Comptes 2022 par habitant'!$E$4:$BE$159,142,0)</f>
        <v>0</v>
      </c>
    </row>
    <row r="149" spans="1:5" x14ac:dyDescent="0.2">
      <c r="C149" s="8">
        <v>494</v>
      </c>
      <c r="D149" s="8" t="s">
        <v>132</v>
      </c>
      <c r="E149" s="18">
        <f>HLOOKUP($D$5,'4.9 Comptes 2022 par habitant'!$E$4:$BE$159,143,0)</f>
        <v>0</v>
      </c>
    </row>
    <row r="150" spans="1:5" x14ac:dyDescent="0.2">
      <c r="C150" s="8">
        <v>495</v>
      </c>
      <c r="D150" s="8" t="s">
        <v>190</v>
      </c>
      <c r="E150" s="18">
        <f>HLOOKUP($D$5,'4.9 Comptes 2022 par habitant'!$E$4:$BE$159,144,0)</f>
        <v>0</v>
      </c>
    </row>
    <row r="151" spans="1:5" x14ac:dyDescent="0.2">
      <c r="C151" s="8">
        <v>498</v>
      </c>
      <c r="D151" s="8" t="s">
        <v>191</v>
      </c>
      <c r="E151" s="18">
        <f>HLOOKUP($D$5,'4.9 Comptes 2022 par habitant'!$E$4:$BE$159,145,0)</f>
        <v>0</v>
      </c>
    </row>
    <row r="152" spans="1:5" x14ac:dyDescent="0.2">
      <c r="C152" s="8">
        <v>499</v>
      </c>
      <c r="D152" s="8" t="s">
        <v>135</v>
      </c>
      <c r="E152" s="18">
        <f>HLOOKUP($D$5,'4.9 Comptes 2022 par habitant'!$E$4:$BE$159,146,0)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335.4952429667519</v>
      </c>
    </row>
    <row r="158" spans="1:5" x14ac:dyDescent="0.2">
      <c r="C158" s="8">
        <v>900</v>
      </c>
      <c r="D158" s="8" t="s">
        <v>195</v>
      </c>
      <c r="E158" s="18">
        <f>HLOOKUP($D$5,'4.9 Comptes 2022 par habitant'!$E$4:$BE$159,152,0)</f>
        <v>0.64370843989769821</v>
      </c>
    </row>
    <row r="159" spans="1:5" x14ac:dyDescent="0.2">
      <c r="C159" s="8">
        <v>901</v>
      </c>
      <c r="D159" s="8" t="s">
        <v>196</v>
      </c>
      <c r="E159" s="18">
        <f>HLOOKUP($D$5,'4.9 Comptes 2022 par habitant'!$E$4:$BE$159,153,0)</f>
        <v>334.85153452685421</v>
      </c>
    </row>
    <row r="160" spans="1:5" x14ac:dyDescent="0.2">
      <c r="E160" s="13"/>
    </row>
    <row r="161" spans="4:5" ht="15" x14ac:dyDescent="0.25">
      <c r="D161" s="7" t="s">
        <v>197</v>
      </c>
      <c r="E161" s="99">
        <f>HLOOKUP($D$5,'4.9 Comptes 2022 par habitant'!$E$4:$BE$159,155,0)</f>
        <v>335.4952429667519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2023-10-17T08:35:45Z</dcterms:modified>
</cp:coreProperties>
</file>