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14" activeTab="14"/>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4" i="35" l="1"/>
  <c r="G24" i="35"/>
  <c r="H24" i="35"/>
  <c r="I24" i="35"/>
  <c r="J24" i="35"/>
  <c r="K24" i="35"/>
  <c r="L24" i="35"/>
  <c r="M24" i="35"/>
  <c r="N24" i="35"/>
  <c r="O24" i="35"/>
  <c r="P24" i="35"/>
  <c r="Q24" i="35"/>
  <c r="R24" i="35"/>
  <c r="S24" i="35"/>
  <c r="T24" i="35"/>
  <c r="U24" i="35"/>
  <c r="V24" i="35"/>
  <c r="W24" i="35"/>
  <c r="X24" i="35"/>
  <c r="Y24" i="35"/>
  <c r="Z24" i="35"/>
  <c r="AA24" i="35"/>
  <c r="AB24" i="35"/>
  <c r="AC24" i="35"/>
  <c r="AD24" i="35"/>
  <c r="AE24" i="35"/>
  <c r="AF24" i="35"/>
  <c r="AG24" i="35"/>
  <c r="AH24" i="35"/>
  <c r="AI24" i="35"/>
  <c r="AJ24" i="35"/>
  <c r="AK24" i="35"/>
  <c r="AL24" i="35"/>
  <c r="AM24" i="35"/>
  <c r="AN24" i="35"/>
  <c r="AO24" i="35"/>
  <c r="AP24" i="35"/>
  <c r="AQ24" i="35"/>
  <c r="AR24" i="35"/>
  <c r="AS24" i="35"/>
  <c r="AT24" i="35"/>
  <c r="AU24" i="35"/>
  <c r="AV24" i="35"/>
  <c r="AW24" i="35"/>
  <c r="AX24" i="35"/>
  <c r="AY24" i="35"/>
  <c r="AZ24" i="35"/>
  <c r="BA24" i="35"/>
  <c r="BB24" i="35"/>
  <c r="BC24" i="35"/>
  <c r="BD24" i="35"/>
  <c r="BE24" i="35"/>
  <c r="E24" i="35"/>
  <c r="Z37" i="35"/>
  <c r="AA37" i="35"/>
  <c r="AD37" i="35"/>
  <c r="R25" i="67" l="1"/>
  <c r="F62" i="42" l="1"/>
  <c r="G62" i="42"/>
  <c r="H62" i="42"/>
  <c r="I62" i="42"/>
  <c r="J62" i="42"/>
  <c r="K62" i="42"/>
  <c r="L62" i="42"/>
  <c r="M62" i="42"/>
  <c r="N62" i="42"/>
  <c r="O62" i="42"/>
  <c r="P62" i="42"/>
  <c r="Q62" i="42"/>
  <c r="R62" i="42"/>
  <c r="S62" i="42"/>
  <c r="T62" i="42"/>
  <c r="U62" i="42"/>
  <c r="V62" i="42"/>
  <c r="V38"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8" i="35" s="1"/>
  <c r="F59" i="42"/>
  <c r="F37" i="35" s="1"/>
  <c r="G59" i="42"/>
  <c r="G37" i="35" s="1"/>
  <c r="H59" i="42"/>
  <c r="H37" i="35" s="1"/>
  <c r="I59" i="42"/>
  <c r="I37" i="35" s="1"/>
  <c r="J59" i="42"/>
  <c r="J37" i="35" s="1"/>
  <c r="K59" i="42"/>
  <c r="K37" i="35" s="1"/>
  <c r="L59" i="42"/>
  <c r="L37" i="35" s="1"/>
  <c r="M59" i="42"/>
  <c r="M37" i="35" s="1"/>
  <c r="N59" i="42"/>
  <c r="N37" i="35" s="1"/>
  <c r="O59" i="42"/>
  <c r="O37" i="35" s="1"/>
  <c r="P59" i="42"/>
  <c r="P37" i="35" s="1"/>
  <c r="Q59" i="42"/>
  <c r="Q37" i="35" s="1"/>
  <c r="R59" i="42"/>
  <c r="R37" i="35" s="1"/>
  <c r="S59" i="42"/>
  <c r="S37" i="35" s="1"/>
  <c r="T59" i="42"/>
  <c r="T37" i="35" s="1"/>
  <c r="U59" i="42"/>
  <c r="U37" i="35" s="1"/>
  <c r="V59" i="42"/>
  <c r="V37" i="35" s="1"/>
  <c r="W59" i="42"/>
  <c r="W37" i="35" s="1"/>
  <c r="X59" i="42"/>
  <c r="X37" i="35" s="1"/>
  <c r="Y59" i="42"/>
  <c r="Y37" i="35" s="1"/>
  <c r="Z59" i="42"/>
  <c r="AA59" i="42"/>
  <c r="AB59" i="42"/>
  <c r="AB37" i="35" s="1"/>
  <c r="AC59" i="42"/>
  <c r="AC37" i="35" s="1"/>
  <c r="AD59" i="42"/>
  <c r="AE59" i="42"/>
  <c r="AE37" i="35" s="1"/>
  <c r="AF59" i="42"/>
  <c r="AF37" i="35" s="1"/>
  <c r="AG59" i="42"/>
  <c r="AG37" i="35" s="1"/>
  <c r="AH59" i="42"/>
  <c r="AH37" i="35" s="1"/>
  <c r="AI59" i="42"/>
  <c r="AI37" i="35" s="1"/>
  <c r="AJ59" i="42"/>
  <c r="AJ37" i="35" s="1"/>
  <c r="AK59" i="42"/>
  <c r="AK37" i="35" s="1"/>
  <c r="AL59" i="42"/>
  <c r="AL37" i="35" s="1"/>
  <c r="AM59" i="42"/>
  <c r="AM37" i="35" s="1"/>
  <c r="AN59" i="42"/>
  <c r="AN37" i="35" s="1"/>
  <c r="AO59" i="42"/>
  <c r="AO37" i="35" s="1"/>
  <c r="AP59" i="42"/>
  <c r="AP37" i="35" s="1"/>
  <c r="AQ59" i="42"/>
  <c r="AQ37" i="35" s="1"/>
  <c r="AR59" i="42"/>
  <c r="AR37" i="35" s="1"/>
  <c r="AS59" i="42"/>
  <c r="AS37" i="35" s="1"/>
  <c r="AT59" i="42"/>
  <c r="AT37" i="35" s="1"/>
  <c r="AU59" i="42"/>
  <c r="AU37" i="35" s="1"/>
  <c r="AV59" i="42"/>
  <c r="AV37" i="35" s="1"/>
  <c r="AW59" i="42"/>
  <c r="AW37" i="35" s="1"/>
  <c r="AX59" i="42"/>
  <c r="AX37" i="35" s="1"/>
  <c r="AY59" i="42"/>
  <c r="AY37" i="35" s="1"/>
  <c r="AZ59" i="42"/>
  <c r="AZ37" i="35" s="1"/>
  <c r="BA59" i="42"/>
  <c r="BA37" i="35" s="1"/>
  <c r="BB59" i="42"/>
  <c r="BB37" i="35" s="1"/>
  <c r="BC59" i="42"/>
  <c r="BC37" i="35" s="1"/>
  <c r="BD59" i="42"/>
  <c r="BD37" i="35" s="1"/>
  <c r="BE59" i="42"/>
  <c r="BE37" i="35" s="1"/>
  <c r="E59" i="42"/>
  <c r="E37"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2" i="53"/>
  <c r="E181" i="53" s="1"/>
  <c r="E179" i="53"/>
  <c r="E178" i="53"/>
  <c r="E177" i="53"/>
  <c r="E176" i="53"/>
  <c r="E175" i="53"/>
  <c r="E174" i="53"/>
  <c r="E173" i="53"/>
  <c r="E170" i="53"/>
  <c r="E169" i="53"/>
  <c r="E168" i="53"/>
  <c r="E167" i="53"/>
  <c r="E166" i="53"/>
  <c r="E165" i="53"/>
  <c r="E164" i="53"/>
  <c r="E163" i="53"/>
  <c r="E162" i="53"/>
  <c r="E159" i="53"/>
  <c r="E158" i="53"/>
  <c r="E157" i="53"/>
  <c r="E156" i="53"/>
  <c r="E155" i="53"/>
  <c r="E154" i="53"/>
  <c r="E153" i="53"/>
  <c r="E152" i="53"/>
  <c r="E151" i="53"/>
  <c r="E148" i="53"/>
  <c r="E147" i="53"/>
  <c r="E146" i="53"/>
  <c r="E145" i="53"/>
  <c r="E144" i="53"/>
  <c r="E143" i="53"/>
  <c r="E142" i="53"/>
  <c r="E141" i="53"/>
  <c r="E140" i="53"/>
  <c r="E137" i="53"/>
  <c r="E136" i="53"/>
  <c r="E135" i="53"/>
  <c r="E134" i="53"/>
  <c r="E133" i="53"/>
  <c r="E132" i="53"/>
  <c r="E131" i="53"/>
  <c r="E130" i="53"/>
  <c r="E129" i="53"/>
  <c r="E126" i="53"/>
  <c r="E125" i="53"/>
  <c r="E124" i="53"/>
  <c r="E123" i="53"/>
  <c r="E122" i="53"/>
  <c r="E121" i="53"/>
  <c r="E120" i="53"/>
  <c r="E119" i="53"/>
  <c r="E118" i="53"/>
  <c r="E115" i="53"/>
  <c r="E114" i="53"/>
  <c r="E113" i="53"/>
  <c r="E110" i="53"/>
  <c r="E109" i="53"/>
  <c r="E108" i="53"/>
  <c r="E107" i="53"/>
  <c r="E106" i="53"/>
  <c r="E105" i="53"/>
  <c r="E104" i="53"/>
  <c r="E103" i="53"/>
  <c r="E100" i="53"/>
  <c r="E99" i="53"/>
  <c r="E98" i="53"/>
  <c r="E97" i="53"/>
  <c r="E96" i="53"/>
  <c r="E95" i="53"/>
  <c r="E94" i="53"/>
  <c r="E93" i="53"/>
  <c r="E87" i="53"/>
  <c r="E86" i="53" s="1"/>
  <c r="E84" i="53"/>
  <c r="E83" i="53"/>
  <c r="E82" i="53"/>
  <c r="E81" i="53"/>
  <c r="E80" i="53"/>
  <c r="E79" i="53"/>
  <c r="E76" i="53"/>
  <c r="E75" i="53"/>
  <c r="E74" i="53"/>
  <c r="E73" i="53"/>
  <c r="E72" i="53"/>
  <c r="E71" i="53"/>
  <c r="E70" i="53"/>
  <c r="E69" i="53"/>
  <c r="E68" i="53"/>
  <c r="E65" i="53"/>
  <c r="E64" i="53"/>
  <c r="E63" i="53"/>
  <c r="E62" i="53"/>
  <c r="E61" i="53"/>
  <c r="E60" i="53"/>
  <c r="E59" i="53"/>
  <c r="E58" i="53"/>
  <c r="E57" i="53"/>
  <c r="E54" i="53"/>
  <c r="E53" i="53"/>
  <c r="E52" i="53"/>
  <c r="E51" i="53"/>
  <c r="E50" i="53"/>
  <c r="E49" i="53"/>
  <c r="E48" i="53"/>
  <c r="E47" i="53"/>
  <c r="E46" i="53"/>
  <c r="E43" i="53"/>
  <c r="E42" i="53"/>
  <c r="E41" i="53"/>
  <c r="E40" i="53"/>
  <c r="E39" i="53"/>
  <c r="E38" i="53"/>
  <c r="E37" i="53"/>
  <c r="E36" i="53"/>
  <c r="E35" i="53"/>
  <c r="E32" i="53"/>
  <c r="E31" i="53"/>
  <c r="E30" i="53"/>
  <c r="E27" i="53"/>
  <c r="E26" i="53"/>
  <c r="E25" i="53"/>
  <c r="E24" i="53"/>
  <c r="E23" i="53"/>
  <c r="E22" i="53"/>
  <c r="E21" i="53"/>
  <c r="E20" i="53"/>
  <c r="E17" i="53"/>
  <c r="E16" i="53"/>
  <c r="E15" i="53"/>
  <c r="E14" i="53"/>
  <c r="E13" i="53"/>
  <c r="E12" i="53"/>
  <c r="E11" i="53"/>
  <c r="E10"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7" i="53" l="1"/>
  <c r="E139" i="53"/>
  <c r="E161" i="53"/>
  <c r="E34" i="53"/>
  <c r="E56" i="53"/>
  <c r="E78" i="53"/>
  <c r="E9" i="53"/>
  <c r="E19" i="53"/>
  <c r="E29" i="53"/>
  <c r="E45" i="53"/>
  <c r="E67" i="53"/>
  <c r="E92" i="53"/>
  <c r="E102" i="53"/>
  <c r="E112" i="53"/>
  <c r="E128" i="53"/>
  <c r="E150" i="53"/>
  <c r="E172"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6" i="35"/>
  <c r="E7" i="35"/>
  <c r="E11" i="35"/>
  <c r="E12" i="35"/>
  <c r="E13" i="35"/>
  <c r="E14" i="35"/>
  <c r="E25" i="35"/>
  <c r="E26" i="35"/>
  <c r="E27" i="35"/>
  <c r="E28" i="35"/>
  <c r="E29" i="35"/>
  <c r="E30" i="35"/>
  <c r="E31" i="35"/>
  <c r="E32" i="35"/>
  <c r="E33" i="35"/>
  <c r="E16" i="35" l="1"/>
  <c r="E10" i="39" s="1"/>
  <c r="E35" i="35"/>
  <c r="E18" i="38" s="1"/>
  <c r="E9" i="35"/>
  <c r="E15" i="40" s="1"/>
  <c r="E40" i="35"/>
  <c r="E18"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1" i="37"/>
  <c r="G31" i="37"/>
  <c r="H31" i="37"/>
  <c r="I31" i="37"/>
  <c r="J31" i="37"/>
  <c r="K31" i="37"/>
  <c r="L31" i="37"/>
  <c r="M31" i="37"/>
  <c r="N31" i="37"/>
  <c r="O31" i="37"/>
  <c r="P31" i="37"/>
  <c r="Q31" i="37"/>
  <c r="R31" i="37"/>
  <c r="S31" i="37"/>
  <c r="T31" i="37"/>
  <c r="U31" i="37"/>
  <c r="V31" i="37"/>
  <c r="W31" i="37"/>
  <c r="X31" i="37"/>
  <c r="Y31" i="37"/>
  <c r="Z31" i="37"/>
  <c r="AA31" i="37"/>
  <c r="AB31" i="37"/>
  <c r="AC31" i="37"/>
  <c r="AD31" i="37"/>
  <c r="AE31" i="37"/>
  <c r="AF31" i="37"/>
  <c r="AG31" i="37"/>
  <c r="AH31" i="37"/>
  <c r="AI31" i="37"/>
  <c r="AJ31" i="37"/>
  <c r="AK31" i="37"/>
  <c r="AL31" i="37"/>
  <c r="AM31" i="37"/>
  <c r="AN31" i="37"/>
  <c r="AO31" i="37"/>
  <c r="AP31" i="37"/>
  <c r="AQ31" i="37"/>
  <c r="AR31" i="37"/>
  <c r="AS31" i="37"/>
  <c r="AT31" i="37"/>
  <c r="AU31" i="37"/>
  <c r="AV31" i="37"/>
  <c r="AW31" i="37"/>
  <c r="AX31" i="37"/>
  <c r="AY31" i="37"/>
  <c r="AZ31" i="37"/>
  <c r="BA31" i="37"/>
  <c r="BB31" i="37"/>
  <c r="BC31" i="37"/>
  <c r="BD31" i="37"/>
  <c r="BE31" i="37"/>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6" i="37"/>
  <c r="F18" i="37" s="1"/>
  <c r="F20" i="37" s="1"/>
  <c r="F31" i="40" s="1"/>
  <c r="G6" i="37"/>
  <c r="G18" i="37" s="1"/>
  <c r="G20" i="37" s="1"/>
  <c r="G31" i="40" s="1"/>
  <c r="H6" i="37"/>
  <c r="H18" i="37" s="1"/>
  <c r="H20" i="37" s="1"/>
  <c r="H31" i="40" s="1"/>
  <c r="I6" i="37"/>
  <c r="I18" i="37" s="1"/>
  <c r="I20" i="37" s="1"/>
  <c r="I31" i="40" s="1"/>
  <c r="J6" i="37"/>
  <c r="J18" i="37" s="1"/>
  <c r="J20" i="37" s="1"/>
  <c r="J31" i="40" s="1"/>
  <c r="K6" i="37"/>
  <c r="K18" i="37" s="1"/>
  <c r="K20" i="37" s="1"/>
  <c r="K31" i="40" s="1"/>
  <c r="L6" i="37"/>
  <c r="L18" i="37" s="1"/>
  <c r="L20" i="37" s="1"/>
  <c r="L31" i="40" s="1"/>
  <c r="M6" i="37"/>
  <c r="M18" i="37" s="1"/>
  <c r="M20" i="37" s="1"/>
  <c r="M31" i="40" s="1"/>
  <c r="N6" i="37"/>
  <c r="N18" i="37" s="1"/>
  <c r="N20" i="37" s="1"/>
  <c r="N31" i="40" s="1"/>
  <c r="O6" i="37"/>
  <c r="O18" i="37" s="1"/>
  <c r="O20" i="37" s="1"/>
  <c r="O31" i="40" s="1"/>
  <c r="P6" i="37"/>
  <c r="P18" i="37" s="1"/>
  <c r="P20" i="37" s="1"/>
  <c r="P31" i="40" s="1"/>
  <c r="Q6" i="37"/>
  <c r="Q18" i="37" s="1"/>
  <c r="Q20" i="37" s="1"/>
  <c r="Q31" i="40" s="1"/>
  <c r="R6" i="37"/>
  <c r="R18" i="37" s="1"/>
  <c r="R20" i="37" s="1"/>
  <c r="R31" i="40" s="1"/>
  <c r="S6" i="37"/>
  <c r="S18" i="37" s="1"/>
  <c r="S20" i="37" s="1"/>
  <c r="S31" i="40" s="1"/>
  <c r="T6" i="37"/>
  <c r="T18" i="37" s="1"/>
  <c r="T20" i="37" s="1"/>
  <c r="T31" i="40" s="1"/>
  <c r="U6" i="37"/>
  <c r="U18" i="37" s="1"/>
  <c r="U20" i="37" s="1"/>
  <c r="U31" i="40" s="1"/>
  <c r="V6" i="37"/>
  <c r="V18" i="37" s="1"/>
  <c r="V20" i="37" s="1"/>
  <c r="V31" i="40" s="1"/>
  <c r="W6" i="37"/>
  <c r="W18" i="37" s="1"/>
  <c r="W20" i="37" s="1"/>
  <c r="W31" i="40" s="1"/>
  <c r="X6" i="37"/>
  <c r="Y6" i="37"/>
  <c r="Y18" i="37" s="1"/>
  <c r="Y20" i="37" s="1"/>
  <c r="Y31" i="40" s="1"/>
  <c r="Z6" i="37"/>
  <c r="Z18" i="37" s="1"/>
  <c r="Z20" i="37" s="1"/>
  <c r="Z31" i="40" s="1"/>
  <c r="AA6" i="37"/>
  <c r="AA18" i="37" s="1"/>
  <c r="AA20" i="37" s="1"/>
  <c r="AA31" i="40" s="1"/>
  <c r="AB6" i="37"/>
  <c r="AB18" i="37" s="1"/>
  <c r="AB20" i="37" s="1"/>
  <c r="AB31" i="40" s="1"/>
  <c r="AC6" i="37"/>
  <c r="AC18" i="37" s="1"/>
  <c r="AC20" i="37" s="1"/>
  <c r="AC31" i="40" s="1"/>
  <c r="AD6" i="37"/>
  <c r="AD18" i="37" s="1"/>
  <c r="AD20" i="37" s="1"/>
  <c r="AD31" i="40" s="1"/>
  <c r="AE6" i="37"/>
  <c r="AE18" i="37" s="1"/>
  <c r="AE20" i="37" s="1"/>
  <c r="AE31" i="40" s="1"/>
  <c r="AF6" i="37"/>
  <c r="AF18" i="37" s="1"/>
  <c r="AF20" i="37" s="1"/>
  <c r="AF31" i="40" s="1"/>
  <c r="AG6" i="37"/>
  <c r="AG18" i="37" s="1"/>
  <c r="AG20" i="37" s="1"/>
  <c r="AG31" i="40" s="1"/>
  <c r="AH6" i="37"/>
  <c r="AH18" i="37" s="1"/>
  <c r="AH20" i="37" s="1"/>
  <c r="AH31" i="40" s="1"/>
  <c r="AI6" i="37"/>
  <c r="AI18" i="37" s="1"/>
  <c r="AI20" i="37" s="1"/>
  <c r="AI31" i="40" s="1"/>
  <c r="AJ6" i="37"/>
  <c r="AJ18" i="37" s="1"/>
  <c r="AJ20" i="37" s="1"/>
  <c r="AJ31" i="40" s="1"/>
  <c r="AK6" i="37"/>
  <c r="AL6" i="37"/>
  <c r="AL18" i="37" s="1"/>
  <c r="AL20" i="37" s="1"/>
  <c r="AL31" i="40" s="1"/>
  <c r="AM6" i="37"/>
  <c r="AM18" i="37" s="1"/>
  <c r="AM20" i="37" s="1"/>
  <c r="AM31" i="40" s="1"/>
  <c r="AN6" i="37"/>
  <c r="AN18" i="37" s="1"/>
  <c r="AN20" i="37" s="1"/>
  <c r="AN31" i="40" s="1"/>
  <c r="AO6" i="37"/>
  <c r="AO18" i="37" s="1"/>
  <c r="AO20" i="37" s="1"/>
  <c r="AO31" i="40" s="1"/>
  <c r="AP6" i="37"/>
  <c r="AP18" i="37" s="1"/>
  <c r="AP20" i="37" s="1"/>
  <c r="AP31" i="40" s="1"/>
  <c r="AQ6" i="37"/>
  <c r="AQ18" i="37" s="1"/>
  <c r="AQ20" i="37" s="1"/>
  <c r="AQ31" i="40" s="1"/>
  <c r="AR6" i="37"/>
  <c r="AR18" i="37" s="1"/>
  <c r="AR20" i="37" s="1"/>
  <c r="AR31" i="40" s="1"/>
  <c r="AS6" i="37"/>
  <c r="AS18" i="37" s="1"/>
  <c r="AS20" i="37" s="1"/>
  <c r="AS31" i="40" s="1"/>
  <c r="AT6" i="37"/>
  <c r="AT18" i="37" s="1"/>
  <c r="AT20" i="37" s="1"/>
  <c r="AT31" i="40" s="1"/>
  <c r="AU6" i="37"/>
  <c r="AU18" i="37" s="1"/>
  <c r="AU20" i="37" s="1"/>
  <c r="AU31" i="40" s="1"/>
  <c r="AV6" i="37"/>
  <c r="AV18" i="37" s="1"/>
  <c r="AV20" i="37" s="1"/>
  <c r="AV31" i="40" s="1"/>
  <c r="AW6" i="37"/>
  <c r="AW18" i="37" s="1"/>
  <c r="AW20" i="37" s="1"/>
  <c r="AW31" i="40" s="1"/>
  <c r="AX6" i="37"/>
  <c r="AX18" i="37" s="1"/>
  <c r="AX20" i="37" s="1"/>
  <c r="AX31" i="40" s="1"/>
  <c r="AY6" i="37"/>
  <c r="AY18" i="37" s="1"/>
  <c r="AY20" i="37" s="1"/>
  <c r="AY31" i="40" s="1"/>
  <c r="AZ6" i="37"/>
  <c r="AZ18" i="37" s="1"/>
  <c r="AZ20" i="37" s="1"/>
  <c r="AZ31" i="40" s="1"/>
  <c r="BA6" i="37"/>
  <c r="BA18" i="37" s="1"/>
  <c r="BA20" i="37" s="1"/>
  <c r="BA31" i="40" s="1"/>
  <c r="BB6" i="37"/>
  <c r="BB18" i="37" s="1"/>
  <c r="BB20" i="37" s="1"/>
  <c r="BB31" i="40" s="1"/>
  <c r="BC6" i="37"/>
  <c r="BC18" i="37" s="1"/>
  <c r="BC20" i="37" s="1"/>
  <c r="BC31" i="40" s="1"/>
  <c r="BD6" i="37"/>
  <c r="BD18" i="37" s="1"/>
  <c r="BD20" i="37" s="1"/>
  <c r="BD31" i="40" s="1"/>
  <c r="BE6" i="37"/>
  <c r="BE18" i="37" s="1"/>
  <c r="BE20" i="37" s="1"/>
  <c r="BE31" i="40" s="1"/>
  <c r="E31" i="37"/>
  <c r="E30" i="37"/>
  <c r="E29" i="37"/>
  <c r="E28" i="37"/>
  <c r="E27" i="37"/>
  <c r="E26" i="37"/>
  <c r="E16" i="37"/>
  <c r="E15" i="37"/>
  <c r="E14" i="37"/>
  <c r="E13" i="37"/>
  <c r="E12" i="37"/>
  <c r="E11" i="37"/>
  <c r="E10" i="37"/>
  <c r="E9" i="37"/>
  <c r="E8" i="37"/>
  <c r="E6" i="37"/>
  <c r="F28" i="36"/>
  <c r="G28" i="36"/>
  <c r="H28" i="36"/>
  <c r="I28" i="36"/>
  <c r="J28" i="36"/>
  <c r="K28" i="36"/>
  <c r="L28" i="36"/>
  <c r="M28" i="36"/>
  <c r="N28" i="36"/>
  <c r="O28" i="36"/>
  <c r="P28" i="36"/>
  <c r="Q28" i="36"/>
  <c r="R28" i="36"/>
  <c r="S28" i="36"/>
  <c r="T28" i="36"/>
  <c r="U28" i="36"/>
  <c r="V28" i="36"/>
  <c r="W28" i="36"/>
  <c r="X28" i="36"/>
  <c r="Y28" i="36"/>
  <c r="Z28" i="36"/>
  <c r="AA28" i="36"/>
  <c r="AB28" i="36"/>
  <c r="AC28" i="36"/>
  <c r="AD28" i="36"/>
  <c r="AE28" i="36"/>
  <c r="AF28" i="36"/>
  <c r="AG28" i="36"/>
  <c r="AH28" i="36"/>
  <c r="AI28" i="36"/>
  <c r="AJ28" i="36"/>
  <c r="AK28" i="36"/>
  <c r="AL28" i="36"/>
  <c r="AM28" i="36"/>
  <c r="AN28" i="36"/>
  <c r="AO28" i="36"/>
  <c r="AP28" i="36"/>
  <c r="AQ28" i="36"/>
  <c r="AR28" i="36"/>
  <c r="AS28" i="36"/>
  <c r="AT28" i="36"/>
  <c r="AU28" i="36"/>
  <c r="AV28" i="36"/>
  <c r="AW28" i="36"/>
  <c r="AX28" i="36"/>
  <c r="AY28" i="36"/>
  <c r="AZ28" i="36"/>
  <c r="BA28" i="36"/>
  <c r="BB28" i="36"/>
  <c r="BC28" i="36"/>
  <c r="BD28" i="36"/>
  <c r="BE28" i="36"/>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15" i="36"/>
  <c r="G15" i="36"/>
  <c r="H15" i="36"/>
  <c r="I15" i="36"/>
  <c r="J15" i="36"/>
  <c r="K15" i="36"/>
  <c r="L15" i="36"/>
  <c r="M15" i="36"/>
  <c r="N15" i="36"/>
  <c r="O15" i="36"/>
  <c r="P15" i="36"/>
  <c r="Q15" i="36"/>
  <c r="R15" i="36"/>
  <c r="S15" i="36"/>
  <c r="T15" i="36"/>
  <c r="U15" i="36"/>
  <c r="V15" i="36"/>
  <c r="W15" i="36"/>
  <c r="X15" i="36"/>
  <c r="Y15" i="36"/>
  <c r="Z15" i="36"/>
  <c r="AA15" i="36"/>
  <c r="AB15" i="36"/>
  <c r="AC15" i="36"/>
  <c r="AD15" i="36"/>
  <c r="AE15" i="36"/>
  <c r="AF15" i="36"/>
  <c r="AG15" i="36"/>
  <c r="AH15" i="36"/>
  <c r="AI15" i="36"/>
  <c r="AJ15" i="36"/>
  <c r="AK15" i="36"/>
  <c r="AL15" i="36"/>
  <c r="AM15" i="36"/>
  <c r="AN15" i="36"/>
  <c r="AO15" i="36"/>
  <c r="AP15" i="36"/>
  <c r="AQ15" i="36"/>
  <c r="AR15" i="36"/>
  <c r="AS15" i="36"/>
  <c r="AT15" i="36"/>
  <c r="AU15" i="36"/>
  <c r="AV15" i="36"/>
  <c r="AW15" i="36"/>
  <c r="AX15" i="36"/>
  <c r="AY15" i="36"/>
  <c r="AZ15" i="36"/>
  <c r="BA15" i="36"/>
  <c r="BB15" i="36"/>
  <c r="BC15" i="36"/>
  <c r="BD15" i="36"/>
  <c r="BE15"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F17" i="36" s="1"/>
  <c r="G11" i="36"/>
  <c r="G17" i="36" s="1"/>
  <c r="H11" i="36"/>
  <c r="H17" i="36" s="1"/>
  <c r="I11" i="36"/>
  <c r="I17" i="36" s="1"/>
  <c r="J11" i="36"/>
  <c r="J17" i="36" s="1"/>
  <c r="K11" i="36"/>
  <c r="K17" i="36" s="1"/>
  <c r="L11" i="36"/>
  <c r="L17" i="36" s="1"/>
  <c r="M11" i="36"/>
  <c r="M17" i="36" s="1"/>
  <c r="N11" i="36"/>
  <c r="N17" i="36" s="1"/>
  <c r="O11" i="36"/>
  <c r="O17" i="36" s="1"/>
  <c r="P11" i="36"/>
  <c r="P17" i="36" s="1"/>
  <c r="Q11" i="36"/>
  <c r="Q17" i="36" s="1"/>
  <c r="R11" i="36"/>
  <c r="R17" i="36" s="1"/>
  <c r="S11" i="36"/>
  <c r="S17" i="36" s="1"/>
  <c r="T11" i="36"/>
  <c r="T17" i="36" s="1"/>
  <c r="U11" i="36"/>
  <c r="U17" i="36" s="1"/>
  <c r="V11" i="36"/>
  <c r="V17" i="36" s="1"/>
  <c r="W11" i="36"/>
  <c r="W17" i="36" s="1"/>
  <c r="X11" i="36"/>
  <c r="Y11" i="36"/>
  <c r="Y17" i="36" s="1"/>
  <c r="Z11" i="36"/>
  <c r="Z17" i="36" s="1"/>
  <c r="AA11" i="36"/>
  <c r="AA17" i="36" s="1"/>
  <c r="AB11" i="36"/>
  <c r="AB17" i="36" s="1"/>
  <c r="AC11" i="36"/>
  <c r="AC17" i="36" s="1"/>
  <c r="AD11" i="36"/>
  <c r="AD17" i="36" s="1"/>
  <c r="AE11" i="36"/>
  <c r="AE17" i="36" s="1"/>
  <c r="AF11" i="36"/>
  <c r="AF17" i="36" s="1"/>
  <c r="AG11" i="36"/>
  <c r="AG17" i="36" s="1"/>
  <c r="AH11" i="36"/>
  <c r="AH17" i="36" s="1"/>
  <c r="AI11" i="36"/>
  <c r="AJ11" i="36"/>
  <c r="AK11" i="36"/>
  <c r="AL11" i="36"/>
  <c r="AL17" i="36" s="1"/>
  <c r="AM11" i="36"/>
  <c r="AM17" i="36" s="1"/>
  <c r="AN11" i="36"/>
  <c r="AN17" i="36" s="1"/>
  <c r="AO11" i="36"/>
  <c r="AO17" i="36" s="1"/>
  <c r="AP11" i="36"/>
  <c r="AP17" i="36" s="1"/>
  <c r="AQ11" i="36"/>
  <c r="AQ17" i="36" s="1"/>
  <c r="AR11" i="36"/>
  <c r="AR17" i="36" s="1"/>
  <c r="AS11" i="36"/>
  <c r="AS17" i="36" s="1"/>
  <c r="AT11" i="36"/>
  <c r="AT17" i="36" s="1"/>
  <c r="AU11" i="36"/>
  <c r="AU17" i="36" s="1"/>
  <c r="AV11" i="36"/>
  <c r="AV17" i="36" s="1"/>
  <c r="AW11" i="36"/>
  <c r="AW17" i="36" s="1"/>
  <c r="AX11" i="36"/>
  <c r="AX17" i="36" s="1"/>
  <c r="AY11" i="36"/>
  <c r="AY17" i="36" s="1"/>
  <c r="AZ11" i="36"/>
  <c r="AZ17" i="36" s="1"/>
  <c r="BA11" i="36"/>
  <c r="BA17" i="36" s="1"/>
  <c r="BB11" i="36"/>
  <c r="BB17" i="36" s="1"/>
  <c r="BC11" i="36"/>
  <c r="BC17" i="36" s="1"/>
  <c r="BD11" i="36"/>
  <c r="BD17" i="36" s="1"/>
  <c r="BE11" i="36"/>
  <c r="BE17" i="36" s="1"/>
  <c r="F7" i="36"/>
  <c r="G7" i="36"/>
  <c r="H7" i="36"/>
  <c r="I7" i="36"/>
  <c r="J7" i="36"/>
  <c r="K7" i="36"/>
  <c r="L7" i="36"/>
  <c r="M7" i="36"/>
  <c r="N7" i="36"/>
  <c r="O7" i="36"/>
  <c r="P7" i="36"/>
  <c r="Q7" i="36"/>
  <c r="R7" i="36"/>
  <c r="S7" i="36"/>
  <c r="T7" i="36"/>
  <c r="U7" i="36"/>
  <c r="V7" i="36"/>
  <c r="W7" i="36"/>
  <c r="X7" i="36"/>
  <c r="Y7" i="36"/>
  <c r="Z7" i="36"/>
  <c r="AA7" i="36"/>
  <c r="AB7" i="36"/>
  <c r="AC7" i="36"/>
  <c r="AD7" i="36"/>
  <c r="AE7" i="36"/>
  <c r="AF7" i="36"/>
  <c r="AG7" i="36"/>
  <c r="AH7" i="36"/>
  <c r="AI7" i="36"/>
  <c r="AJ7" i="36"/>
  <c r="AK7" i="36"/>
  <c r="AL7" i="36"/>
  <c r="AM7" i="36"/>
  <c r="AN7" i="36"/>
  <c r="AO7" i="36"/>
  <c r="AP7" i="36"/>
  <c r="AQ7" i="36"/>
  <c r="AR7" i="36"/>
  <c r="AS7" i="36"/>
  <c r="AT7" i="36"/>
  <c r="AU7" i="36"/>
  <c r="AV7" i="36"/>
  <c r="AW7" i="36"/>
  <c r="AX7" i="36"/>
  <c r="AY7" i="36"/>
  <c r="AZ7" i="36"/>
  <c r="BA7" i="36"/>
  <c r="BB7" i="36"/>
  <c r="BC7" i="36"/>
  <c r="BD7" i="36"/>
  <c r="BE7" i="36"/>
  <c r="F6" i="36"/>
  <c r="F9" i="36" s="1"/>
  <c r="G6" i="36"/>
  <c r="G9" i="36" s="1"/>
  <c r="H6" i="36"/>
  <c r="H9" i="36" s="1"/>
  <c r="I6" i="36"/>
  <c r="I9" i="36" s="1"/>
  <c r="J6" i="36"/>
  <c r="J9" i="36" s="1"/>
  <c r="K6" i="36"/>
  <c r="K9" i="36" s="1"/>
  <c r="L6" i="36"/>
  <c r="L9" i="36" s="1"/>
  <c r="M6" i="36"/>
  <c r="M9" i="36" s="1"/>
  <c r="N6" i="36"/>
  <c r="N9" i="36" s="1"/>
  <c r="O6" i="36"/>
  <c r="O9" i="36" s="1"/>
  <c r="P6" i="36"/>
  <c r="P9" i="36" s="1"/>
  <c r="Q6" i="36"/>
  <c r="Q9" i="36" s="1"/>
  <c r="R6" i="36"/>
  <c r="R9" i="36" s="1"/>
  <c r="S6" i="36"/>
  <c r="S9" i="36" s="1"/>
  <c r="T6" i="36"/>
  <c r="T9" i="36" s="1"/>
  <c r="U6" i="36"/>
  <c r="U9" i="36" s="1"/>
  <c r="V6" i="36"/>
  <c r="V9" i="36" s="1"/>
  <c r="W6" i="36"/>
  <c r="W9" i="36" s="1"/>
  <c r="X6" i="36"/>
  <c r="Y6" i="36"/>
  <c r="Y9" i="36" s="1"/>
  <c r="Z6" i="36"/>
  <c r="Z9" i="36" s="1"/>
  <c r="AA6" i="36"/>
  <c r="AA9" i="36" s="1"/>
  <c r="AB6" i="36"/>
  <c r="AB9" i="36" s="1"/>
  <c r="AC6" i="36"/>
  <c r="AC9" i="36" s="1"/>
  <c r="AD6" i="36"/>
  <c r="AD9" i="36" s="1"/>
  <c r="AE6" i="36"/>
  <c r="AE9" i="36" s="1"/>
  <c r="AF6" i="36"/>
  <c r="AF9" i="36" s="1"/>
  <c r="AG6" i="36"/>
  <c r="AG9" i="36" s="1"/>
  <c r="AH6" i="36"/>
  <c r="AH9" i="36" s="1"/>
  <c r="AI6" i="36"/>
  <c r="AI9" i="36" s="1"/>
  <c r="AJ6" i="36"/>
  <c r="AJ9" i="36" s="1"/>
  <c r="AK6" i="36"/>
  <c r="AL6" i="36"/>
  <c r="AL9" i="36" s="1"/>
  <c r="AM6" i="36"/>
  <c r="AM9" i="36" s="1"/>
  <c r="AN6" i="36"/>
  <c r="AN9" i="36" s="1"/>
  <c r="AO6" i="36"/>
  <c r="AO9" i="36" s="1"/>
  <c r="AP6" i="36"/>
  <c r="AP9" i="36" s="1"/>
  <c r="AQ6" i="36"/>
  <c r="AQ9" i="36" s="1"/>
  <c r="AR6" i="36"/>
  <c r="AR9" i="36" s="1"/>
  <c r="AS6" i="36"/>
  <c r="AS9" i="36" s="1"/>
  <c r="AT6" i="36"/>
  <c r="AT9" i="36" s="1"/>
  <c r="AU6" i="36"/>
  <c r="AU9" i="36" s="1"/>
  <c r="AV6" i="36"/>
  <c r="AV9" i="36" s="1"/>
  <c r="AW6" i="36"/>
  <c r="AW9" i="36" s="1"/>
  <c r="AX6" i="36"/>
  <c r="AX9" i="36" s="1"/>
  <c r="AY6" i="36"/>
  <c r="AY9" i="36" s="1"/>
  <c r="AZ6" i="36"/>
  <c r="AZ9" i="36" s="1"/>
  <c r="BA6" i="36"/>
  <c r="BA9" i="36" s="1"/>
  <c r="BB6" i="36"/>
  <c r="BB9" i="36" s="1"/>
  <c r="BC6" i="36"/>
  <c r="BC9" i="36" s="1"/>
  <c r="BD6" i="36"/>
  <c r="BD9" i="36" s="1"/>
  <c r="BE6" i="36"/>
  <c r="BE9" i="36" s="1"/>
  <c r="E28" i="36"/>
  <c r="E27" i="36"/>
  <c r="E26" i="36"/>
  <c r="E25" i="36"/>
  <c r="E15" i="36"/>
  <c r="E14" i="36"/>
  <c r="E13" i="36"/>
  <c r="E12" i="36"/>
  <c r="E11" i="36"/>
  <c r="E7" i="36"/>
  <c r="E6" i="36"/>
  <c r="E22" i="40" l="1"/>
  <c r="E42" i="35"/>
  <c r="E24" i="40" s="1"/>
  <c r="N42" i="38"/>
  <c r="N39" i="40" s="1"/>
  <c r="AJ17" i="36"/>
  <c r="AJ20" i="38" s="1"/>
  <c r="AI17" i="36"/>
  <c r="AI35" i="37" s="1"/>
  <c r="N33" i="37"/>
  <c r="N30" i="36"/>
  <c r="N13" i="40" s="1"/>
  <c r="AT42" i="38"/>
  <c r="AT39" i="40" s="1"/>
  <c r="AT33" i="37"/>
  <c r="AT30" i="36"/>
  <c r="AT13" i="40" s="1"/>
  <c r="R42" i="38"/>
  <c r="R39" i="40" s="1"/>
  <c r="R33" i="37"/>
  <c r="R30" i="36"/>
  <c r="R13" i="40" s="1"/>
  <c r="AX42" i="38"/>
  <c r="AX39" i="40" s="1"/>
  <c r="AX33" i="37"/>
  <c r="AX30" i="36"/>
  <c r="AX13" i="40" s="1"/>
  <c r="BE42" i="38"/>
  <c r="BE39" i="40" s="1"/>
  <c r="BE33" i="37"/>
  <c r="BE30" i="36"/>
  <c r="BE13" i="40" s="1"/>
  <c r="V42" i="38"/>
  <c r="V39" i="40" s="1"/>
  <c r="V33" i="37"/>
  <c r="V30" i="36"/>
  <c r="V13" i="40" s="1"/>
  <c r="T42" i="38"/>
  <c r="T39" i="40" s="1"/>
  <c r="T30" i="36"/>
  <c r="T13" i="40" s="1"/>
  <c r="BC42" i="38"/>
  <c r="BC39" i="40" s="1"/>
  <c r="BC33" i="37"/>
  <c r="BC30" i="36"/>
  <c r="BC13" i="40" s="1"/>
  <c r="BB42" i="38"/>
  <c r="BB39" i="40" s="1"/>
  <c r="BB33" i="37"/>
  <c r="BB30" i="36"/>
  <c r="BB13" i="40" s="1"/>
  <c r="AZ42" i="38"/>
  <c r="AZ39" i="40" s="1"/>
  <c r="AZ30" i="36"/>
  <c r="AZ13" i="40" s="1"/>
  <c r="AY42" i="38"/>
  <c r="AY39" i="40" s="1"/>
  <c r="AY33" i="37"/>
  <c r="AY30" i="36"/>
  <c r="AY13" i="40" s="1"/>
  <c r="AW42" i="38"/>
  <c r="AW39" i="40" s="1"/>
  <c r="AW33" i="37"/>
  <c r="AW30" i="36"/>
  <c r="AW13" i="40" s="1"/>
  <c r="AV42" i="38"/>
  <c r="AV39" i="40" s="1"/>
  <c r="AV30" i="36"/>
  <c r="AV13" i="40" s="1"/>
  <c r="AS42" i="38"/>
  <c r="AS39" i="40" s="1"/>
  <c r="AS33" i="37"/>
  <c r="AS30" i="36"/>
  <c r="AS13" i="40" s="1"/>
  <c r="AQ42" i="38"/>
  <c r="AQ39" i="40" s="1"/>
  <c r="AQ33" i="37"/>
  <c r="AQ30" i="36"/>
  <c r="AQ13" i="40" s="1"/>
  <c r="AP42" i="38"/>
  <c r="AP39" i="40" s="1"/>
  <c r="AP33" i="37"/>
  <c r="AP30" i="36"/>
  <c r="AP13" i="40" s="1"/>
  <c r="AO42" i="38"/>
  <c r="AO39" i="40" s="1"/>
  <c r="AO33" i="37"/>
  <c r="AO30" i="36"/>
  <c r="AO13" i="40" s="1"/>
  <c r="AN42" i="38"/>
  <c r="AN39" i="40" s="1"/>
  <c r="AN30" i="36"/>
  <c r="AN13" i="40" s="1"/>
  <c r="AM42" i="38"/>
  <c r="AM39" i="40" s="1"/>
  <c r="AM33" i="37"/>
  <c r="AM30" i="36"/>
  <c r="AM13" i="40" s="1"/>
  <c r="AL42" i="38"/>
  <c r="AL39" i="40" s="1"/>
  <c r="AL33" i="37"/>
  <c r="AL30" i="36"/>
  <c r="AL13" i="40" s="1"/>
  <c r="AJ42" i="38"/>
  <c r="AJ39" i="40" s="1"/>
  <c r="AJ30" i="36"/>
  <c r="AJ13" i="40" s="1"/>
  <c r="AI42" i="38"/>
  <c r="AI39" i="40" s="1"/>
  <c r="AI33" i="37"/>
  <c r="AI30" i="36"/>
  <c r="AI13" i="40" s="1"/>
  <c r="AH42" i="38"/>
  <c r="AH39" i="40" s="1"/>
  <c r="AH33" i="37"/>
  <c r="AH30" i="36"/>
  <c r="AH13" i="40" s="1"/>
  <c r="AG42" i="38"/>
  <c r="AG39" i="40" s="1"/>
  <c r="AG33" i="37"/>
  <c r="AG30" i="36"/>
  <c r="AG13" i="40" s="1"/>
  <c r="AF42" i="38"/>
  <c r="AF39" i="40" s="1"/>
  <c r="AF30" i="36"/>
  <c r="AF13" i="40" s="1"/>
  <c r="AB42" i="38"/>
  <c r="AB39" i="40" s="1"/>
  <c r="AB30" i="36"/>
  <c r="AB13" i="40" s="1"/>
  <c r="BF12" i="36"/>
  <c r="J42" i="38"/>
  <c r="J39" i="40" s="1"/>
  <c r="J33" i="37"/>
  <c r="J30" i="36"/>
  <c r="J13" i="40" s="1"/>
  <c r="AE42" i="38"/>
  <c r="AE39" i="40" s="1"/>
  <c r="AE33" i="37"/>
  <c r="AE30" i="36"/>
  <c r="AE13" i="40" s="1"/>
  <c r="AC42" i="38"/>
  <c r="AC39" i="40" s="1"/>
  <c r="AC33" i="37"/>
  <c r="AC30" i="36"/>
  <c r="AC13" i="40" s="1"/>
  <c r="AA42" i="38"/>
  <c r="AA39" i="40" s="1"/>
  <c r="AA33" i="37"/>
  <c r="AA30" i="36"/>
  <c r="AA13" i="40" s="1"/>
  <c r="Y42" i="38"/>
  <c r="Y39" i="40" s="1"/>
  <c r="Y33" i="37"/>
  <c r="Y30" i="36"/>
  <c r="Y13" i="40" s="1"/>
  <c r="U42" i="38"/>
  <c r="U39" i="40" s="1"/>
  <c r="U33" i="37"/>
  <c r="U30" i="36"/>
  <c r="U13" i="40" s="1"/>
  <c r="AU42" i="38"/>
  <c r="AU39" i="40" s="1"/>
  <c r="AU33" i="37"/>
  <c r="AU30" i="36"/>
  <c r="AU13" i="40" s="1"/>
  <c r="S42" i="38"/>
  <c r="S39" i="40" s="1"/>
  <c r="S33" i="37"/>
  <c r="S30" i="36"/>
  <c r="S13" i="40" s="1"/>
  <c r="W42" i="38"/>
  <c r="W39" i="40" s="1"/>
  <c r="BF36" i="38"/>
  <c r="W33" i="37"/>
  <c r="W30" i="36"/>
  <c r="W13" i="40" s="1"/>
  <c r="AD42" i="38"/>
  <c r="AD39" i="40" s="1"/>
  <c r="AD33" i="37"/>
  <c r="BG8" i="39"/>
  <c r="AD30" i="36"/>
  <c r="AD13" i="40" s="1"/>
  <c r="Q42" i="38"/>
  <c r="Q39" i="40" s="1"/>
  <c r="Q33" i="37"/>
  <c r="Q30" i="36"/>
  <c r="Q13" i="40" s="1"/>
  <c r="P42" i="38"/>
  <c r="P39" i="40" s="1"/>
  <c r="P30" i="36"/>
  <c r="P13" i="40" s="1"/>
  <c r="H42" i="38"/>
  <c r="H39" i="40" s="1"/>
  <c r="BF26" i="37"/>
  <c r="H30" i="36"/>
  <c r="H13" i="40" s="1"/>
  <c r="BF25" i="36"/>
  <c r="K42" i="38"/>
  <c r="K39" i="40" s="1"/>
  <c r="K33" i="37"/>
  <c r="K30" i="36"/>
  <c r="K13" i="40" s="1"/>
  <c r="G42" i="38"/>
  <c r="G39" i="40" s="1"/>
  <c r="G33" i="37"/>
  <c r="BF27" i="38"/>
  <c r="G30" i="36"/>
  <c r="G13" i="40" s="1"/>
  <c r="BF15" i="36"/>
  <c r="I42" i="38"/>
  <c r="I39" i="40" s="1"/>
  <c r="I33" i="37"/>
  <c r="BF6" i="36"/>
  <c r="BF26" i="36"/>
  <c r="I30" i="36"/>
  <c r="I13" i="40" s="1"/>
  <c r="BD42" i="38"/>
  <c r="BD39" i="40" s="1"/>
  <c r="BD30" i="36"/>
  <c r="BD13" i="40" s="1"/>
  <c r="BF7" i="36"/>
  <c r="L42" i="38"/>
  <c r="L39" i="40" s="1"/>
  <c r="BF13" i="37"/>
  <c r="L30" i="36"/>
  <c r="L13" i="40" s="1"/>
  <c r="BF14" i="36"/>
  <c r="BF32" i="38"/>
  <c r="BF30" i="38"/>
  <c r="F42" i="38"/>
  <c r="F39" i="40" s="1"/>
  <c r="BF28" i="38"/>
  <c r="BF37" i="38"/>
  <c r="BF30" i="37"/>
  <c r="F33" i="37"/>
  <c r="BF28" i="37"/>
  <c r="BF8" i="39"/>
  <c r="F30" i="36"/>
  <c r="F13" i="40" s="1"/>
  <c r="BF28" i="36"/>
  <c r="BF13" i="36"/>
  <c r="BF31" i="38"/>
  <c r="BF29" i="38"/>
  <c r="M42" i="38"/>
  <c r="M39" i="40" s="1"/>
  <c r="M33" i="37"/>
  <c r="M30" i="36"/>
  <c r="M13" i="40" s="1"/>
  <c r="BF6" i="38"/>
  <c r="BA42" i="38"/>
  <c r="BA39" i="40" s="1"/>
  <c r="BA33" i="37"/>
  <c r="BA30" i="36"/>
  <c r="BA13" i="40" s="1"/>
  <c r="O42" i="38"/>
  <c r="O39" i="40" s="1"/>
  <c r="BF38" i="38"/>
  <c r="BF11" i="36"/>
  <c r="O33" i="37"/>
  <c r="O30" i="36"/>
  <c r="O13" i="40" s="1"/>
  <c r="O9" i="38"/>
  <c r="BF7" i="38"/>
  <c r="AR42" i="38"/>
  <c r="AR39" i="40" s="1"/>
  <c r="BH8" i="39"/>
  <c r="AR30" i="36"/>
  <c r="AR13" i="40" s="1"/>
  <c r="Z42" i="38"/>
  <c r="Z39" i="40" s="1"/>
  <c r="Z33" i="37"/>
  <c r="Z30" i="36"/>
  <c r="Z13" i="40" s="1"/>
  <c r="E9" i="36"/>
  <c r="BF9" i="36" s="1"/>
  <c r="E17" i="36"/>
  <c r="BF27" i="36"/>
  <c r="E30" i="36"/>
  <c r="E13" i="40" s="1"/>
  <c r="BD20" i="38"/>
  <c r="BD35" i="37"/>
  <c r="BD32" i="36"/>
  <c r="BD34" i="36" s="1"/>
  <c r="BD29" i="40" s="1"/>
  <c r="BD19" i="36"/>
  <c r="BD27" i="40" s="1"/>
  <c r="BB20" i="38"/>
  <c r="BB35" i="37"/>
  <c r="BB32" i="36"/>
  <c r="BB19" i="36"/>
  <c r="BB27" i="40" s="1"/>
  <c r="AZ20" i="38"/>
  <c r="AZ35" i="37"/>
  <c r="AZ32" i="36"/>
  <c r="AZ19" i="36"/>
  <c r="AZ27" i="40" s="1"/>
  <c r="AX20" i="38"/>
  <c r="AX35" i="37"/>
  <c r="AX32" i="36"/>
  <c r="AX19" i="36"/>
  <c r="AX27" i="40" s="1"/>
  <c r="AV20" i="38"/>
  <c r="AV35" i="37"/>
  <c r="AV32" i="36"/>
  <c r="AV19" i="36"/>
  <c r="AV27" i="40" s="1"/>
  <c r="AT20" i="38"/>
  <c r="AT35" i="37"/>
  <c r="AT32" i="36"/>
  <c r="AT19" i="36"/>
  <c r="AT27" i="40" s="1"/>
  <c r="AR20" i="38"/>
  <c r="AR35" i="37"/>
  <c r="AR32" i="36"/>
  <c r="AR34" i="36" s="1"/>
  <c r="AR29" i="40" s="1"/>
  <c r="AR19" i="36"/>
  <c r="AR27" i="40" s="1"/>
  <c r="AP20" i="38"/>
  <c r="AP35" i="37"/>
  <c r="AP32" i="36"/>
  <c r="AP34" i="36" s="1"/>
  <c r="AP29" i="40" s="1"/>
  <c r="AP19" i="36"/>
  <c r="AP27" i="40" s="1"/>
  <c r="AN20" i="38"/>
  <c r="AN35" i="37"/>
  <c r="AN32" i="36"/>
  <c r="AN19" i="36"/>
  <c r="AN27" i="40" s="1"/>
  <c r="AL20" i="38"/>
  <c r="AL35" i="37"/>
  <c r="AL32" i="36"/>
  <c r="AL19" i="36"/>
  <c r="AL27" i="40" s="1"/>
  <c r="AJ35" i="37"/>
  <c r="AH20" i="38"/>
  <c r="AH35" i="37"/>
  <c r="AH32" i="36"/>
  <c r="AH19" i="36"/>
  <c r="AH27" i="40" s="1"/>
  <c r="AF20" i="38"/>
  <c r="AF35" i="37"/>
  <c r="AF32" i="36"/>
  <c r="AF19" i="36"/>
  <c r="AF27" i="40" s="1"/>
  <c r="AD20" i="38"/>
  <c r="AD35" i="37"/>
  <c r="AD32" i="36"/>
  <c r="AD34" i="36" s="1"/>
  <c r="AD29" i="40" s="1"/>
  <c r="AD19" i="36"/>
  <c r="AD27" i="40" s="1"/>
  <c r="AB20" i="38"/>
  <c r="AB35" i="37"/>
  <c r="AB32" i="36"/>
  <c r="AB34" i="36" s="1"/>
  <c r="AB29" i="40" s="1"/>
  <c r="AB19" i="36"/>
  <c r="AB27" i="40" s="1"/>
  <c r="Z20" i="38"/>
  <c r="Z35" i="37"/>
  <c r="Z32" i="36"/>
  <c r="Z19" i="36"/>
  <c r="Z27" i="40" s="1"/>
  <c r="V20" i="38"/>
  <c r="V35" i="37"/>
  <c r="V32" i="36"/>
  <c r="V19" i="36"/>
  <c r="V27" i="40" s="1"/>
  <c r="T20" i="38"/>
  <c r="T35" i="37"/>
  <c r="T32" i="36"/>
  <c r="T19" i="36"/>
  <c r="T27" i="40" s="1"/>
  <c r="R20" i="38"/>
  <c r="R35" i="37"/>
  <c r="R32" i="36"/>
  <c r="R19" i="36"/>
  <c r="R27" i="40" s="1"/>
  <c r="P20" i="38"/>
  <c r="P35" i="37"/>
  <c r="P32" i="36"/>
  <c r="P19" i="36"/>
  <c r="P27" i="40" s="1"/>
  <c r="N20" i="38"/>
  <c r="N35" i="37"/>
  <c r="N37" i="37" s="1"/>
  <c r="N33" i="40" s="1"/>
  <c r="N32" i="36"/>
  <c r="N34" i="36" s="1"/>
  <c r="N29" i="40" s="1"/>
  <c r="N19" i="36"/>
  <c r="N27" i="40" s="1"/>
  <c r="L20" i="38"/>
  <c r="L35" i="37"/>
  <c r="L32" i="36"/>
  <c r="L34" i="36" s="1"/>
  <c r="L29" i="40" s="1"/>
  <c r="L19" i="36"/>
  <c r="L27" i="40" s="1"/>
  <c r="J20" i="38"/>
  <c r="J35" i="37"/>
  <c r="J32" i="36"/>
  <c r="J34" i="36" s="1"/>
  <c r="J29" i="40" s="1"/>
  <c r="J19" i="36"/>
  <c r="J27" i="40" s="1"/>
  <c r="H20" i="38"/>
  <c r="H35" i="37"/>
  <c r="H32" i="36"/>
  <c r="H34" i="36" s="1"/>
  <c r="H29" i="40" s="1"/>
  <c r="H19" i="36"/>
  <c r="H27" i="40" s="1"/>
  <c r="F20" i="38"/>
  <c r="F35" i="37"/>
  <c r="F32" i="36"/>
  <c r="F19" i="36"/>
  <c r="F27" i="40" s="1"/>
  <c r="BH6" i="36"/>
  <c r="AK9" i="36"/>
  <c r="BH9" i="36" s="1"/>
  <c r="BE20" i="38"/>
  <c r="BE35" i="37"/>
  <c r="BE32" i="36"/>
  <c r="BE34" i="36" s="1"/>
  <c r="BE29" i="40" s="1"/>
  <c r="BE19" i="36"/>
  <c r="BE27" i="40" s="1"/>
  <c r="BC20" i="38"/>
  <c r="BC35" i="37"/>
  <c r="BC32" i="36"/>
  <c r="BC34" i="36" s="1"/>
  <c r="BC29" i="40" s="1"/>
  <c r="BC19" i="36"/>
  <c r="BC27" i="40" s="1"/>
  <c r="BA20" i="38"/>
  <c r="BA35" i="37"/>
  <c r="BA32" i="36"/>
  <c r="BA34" i="36" s="1"/>
  <c r="BA29" i="40" s="1"/>
  <c r="BA19" i="36"/>
  <c r="BA27" i="40" s="1"/>
  <c r="AY20" i="38"/>
  <c r="AY35" i="37"/>
  <c r="AY32" i="36"/>
  <c r="AY34" i="36" s="1"/>
  <c r="AY29" i="40" s="1"/>
  <c r="AY19" i="36"/>
  <c r="AY27" i="40" s="1"/>
  <c r="AW20" i="38"/>
  <c r="AW35" i="37"/>
  <c r="AW32" i="36"/>
  <c r="AW19" i="36"/>
  <c r="AW27" i="40" s="1"/>
  <c r="AU20" i="38"/>
  <c r="AU35" i="37"/>
  <c r="AU32" i="36"/>
  <c r="AU19" i="36"/>
  <c r="AU27" i="40" s="1"/>
  <c r="AS20" i="38"/>
  <c r="AS35" i="37"/>
  <c r="AS32" i="36"/>
  <c r="AS34" i="36" s="1"/>
  <c r="AS29" i="40" s="1"/>
  <c r="AS19" i="36"/>
  <c r="AS27" i="40" s="1"/>
  <c r="AQ20" i="38"/>
  <c r="AQ35" i="37"/>
  <c r="AQ32" i="36"/>
  <c r="AQ19" i="36"/>
  <c r="AQ27" i="40" s="1"/>
  <c r="AO20" i="38"/>
  <c r="AO35" i="37"/>
  <c r="AO32" i="36"/>
  <c r="AO19" i="36"/>
  <c r="AO27" i="40" s="1"/>
  <c r="AM20" i="38"/>
  <c r="AM35" i="37"/>
  <c r="AM32" i="36"/>
  <c r="AM34" i="36" s="1"/>
  <c r="AM29" i="40" s="1"/>
  <c r="AM19" i="36"/>
  <c r="AM27" i="40" s="1"/>
  <c r="AI32" i="36"/>
  <c r="AI34" i="36" s="1"/>
  <c r="AI29" i="40" s="1"/>
  <c r="AG20" i="38"/>
  <c r="AG35" i="37"/>
  <c r="AG32" i="36"/>
  <c r="AG34" i="36" s="1"/>
  <c r="AG29" i="40" s="1"/>
  <c r="AG19" i="36"/>
  <c r="AG27" i="40" s="1"/>
  <c r="AE20" i="38"/>
  <c r="AE35" i="37"/>
  <c r="AE32" i="36"/>
  <c r="AE19" i="36"/>
  <c r="AE27" i="40" s="1"/>
  <c r="AC20" i="38"/>
  <c r="AC35" i="37"/>
  <c r="AC32" i="36"/>
  <c r="AC34" i="36" s="1"/>
  <c r="AC29" i="40" s="1"/>
  <c r="AC19" i="36"/>
  <c r="AC27" i="40" s="1"/>
  <c r="AA20" i="38"/>
  <c r="AA35" i="37"/>
  <c r="AA32" i="36"/>
  <c r="AA19" i="36"/>
  <c r="AA27" i="40" s="1"/>
  <c r="Y20" i="38"/>
  <c r="Y35" i="37"/>
  <c r="Y32" i="36"/>
  <c r="Y34" i="36" s="1"/>
  <c r="Y29" i="40" s="1"/>
  <c r="Y19" i="36"/>
  <c r="Y27" i="40" s="1"/>
  <c r="W20" i="38"/>
  <c r="W35" i="37"/>
  <c r="W37" i="37" s="1"/>
  <c r="W33" i="40" s="1"/>
  <c r="W32" i="36"/>
  <c r="W34" i="36" s="1"/>
  <c r="W29" i="40" s="1"/>
  <c r="W19" i="36"/>
  <c r="W27" i="40" s="1"/>
  <c r="U20" i="38"/>
  <c r="U35" i="37"/>
  <c r="U37" i="37" s="1"/>
  <c r="U33" i="40" s="1"/>
  <c r="U32" i="36"/>
  <c r="U34" i="36" s="1"/>
  <c r="U29" i="40" s="1"/>
  <c r="U19" i="36"/>
  <c r="U27" i="40" s="1"/>
  <c r="S20" i="38"/>
  <c r="S35" i="37"/>
  <c r="S37" i="37" s="1"/>
  <c r="S33" i="40" s="1"/>
  <c r="S32" i="36"/>
  <c r="S34" i="36" s="1"/>
  <c r="S29" i="40" s="1"/>
  <c r="S19" i="36"/>
  <c r="S27" i="40" s="1"/>
  <c r="Q20" i="38"/>
  <c r="Q35" i="37"/>
  <c r="Q32" i="36"/>
  <c r="Q19" i="36"/>
  <c r="Q27" i="40" s="1"/>
  <c r="O20" i="38"/>
  <c r="O35" i="37"/>
  <c r="O32" i="36"/>
  <c r="O19" i="36"/>
  <c r="O27" i="40" s="1"/>
  <c r="M20" i="38"/>
  <c r="M35" i="37"/>
  <c r="M37" i="37" s="1"/>
  <c r="M33" i="40" s="1"/>
  <c r="M32" i="36"/>
  <c r="M34" i="36" s="1"/>
  <c r="M29" i="40" s="1"/>
  <c r="M19" i="36"/>
  <c r="M27" i="40" s="1"/>
  <c r="K20" i="38"/>
  <c r="K35" i="37"/>
  <c r="K37" i="37" s="1"/>
  <c r="K33" i="40" s="1"/>
  <c r="K32" i="36"/>
  <c r="K34" i="36" s="1"/>
  <c r="K29" i="40" s="1"/>
  <c r="K19" i="36"/>
  <c r="K27" i="40" s="1"/>
  <c r="I20" i="38"/>
  <c r="I35" i="37"/>
  <c r="I37" i="37" s="1"/>
  <c r="I33" i="40" s="1"/>
  <c r="I32" i="36"/>
  <c r="I34" i="36" s="1"/>
  <c r="I29" i="40" s="1"/>
  <c r="I19" i="36"/>
  <c r="I27" i="40" s="1"/>
  <c r="G20" i="38"/>
  <c r="G35" i="37"/>
  <c r="G32" i="36"/>
  <c r="G34" i="36" s="1"/>
  <c r="G29" i="40" s="1"/>
  <c r="G19" i="36"/>
  <c r="G27" i="40" s="1"/>
  <c r="BG6" i="36"/>
  <c r="BG7" i="36"/>
  <c r="X9" i="36"/>
  <c r="BG9" i="36" s="1"/>
  <c r="BG11" i="36"/>
  <c r="BG12" i="36"/>
  <c r="BG13" i="36"/>
  <c r="BG14" i="36"/>
  <c r="BG15" i="36"/>
  <c r="X17" i="36"/>
  <c r="BG25" i="36"/>
  <c r="BG26" i="36"/>
  <c r="BG27" i="36"/>
  <c r="BG28" i="36"/>
  <c r="X30" i="36"/>
  <c r="BH7" i="36"/>
  <c r="BH11" i="36"/>
  <c r="BH12" i="36"/>
  <c r="BH13" i="36"/>
  <c r="BH14" i="36"/>
  <c r="BH15" i="36"/>
  <c r="AK17" i="36"/>
  <c r="BH25" i="36"/>
  <c r="BH26" i="36"/>
  <c r="BH27" i="36"/>
  <c r="BH28" i="36"/>
  <c r="AK30" i="36"/>
  <c r="BG9" i="37"/>
  <c r="BF9" i="37"/>
  <c r="BG10" i="37"/>
  <c r="BG11" i="37"/>
  <c r="BG12" i="37"/>
  <c r="BG16" i="37"/>
  <c r="BG26" i="37"/>
  <c r="BD33" i="37"/>
  <c r="AZ33" i="37"/>
  <c r="AV33" i="37"/>
  <c r="AR33" i="37"/>
  <c r="AN33" i="37"/>
  <c r="AJ33" i="37"/>
  <c r="AF33" i="37"/>
  <c r="AB33" i="37"/>
  <c r="X33" i="37"/>
  <c r="BG27" i="37"/>
  <c r="T33" i="37"/>
  <c r="P33" i="37"/>
  <c r="L33" i="37"/>
  <c r="H33" i="37"/>
  <c r="BG28" i="37"/>
  <c r="BH29" i="37"/>
  <c r="BG29" i="37"/>
  <c r="BF29" i="37"/>
  <c r="BG30" i="37"/>
  <c r="BG31" i="37"/>
  <c r="E33" i="37"/>
  <c r="BG6" i="37"/>
  <c r="X18" i="37"/>
  <c r="BG8" i="37"/>
  <c r="BH9" i="37"/>
  <c r="BH13" i="37"/>
  <c r="BG13" i="37"/>
  <c r="BG14" i="37"/>
  <c r="BG15" i="37"/>
  <c r="BF6" i="37"/>
  <c r="BF11" i="37"/>
  <c r="BF15" i="37"/>
  <c r="E18" i="37"/>
  <c r="BF27" i="37"/>
  <c r="BF31" i="37"/>
  <c r="BH11" i="37"/>
  <c r="BH15" i="37"/>
  <c r="BH27" i="37"/>
  <c r="BH31" i="37"/>
  <c r="BF8" i="37"/>
  <c r="BF10" i="37"/>
  <c r="BF12" i="37"/>
  <c r="BF14" i="37"/>
  <c r="BF16" i="37"/>
  <c r="BH6" i="37"/>
  <c r="BH8" i="37"/>
  <c r="BH10" i="37"/>
  <c r="BH12" i="37"/>
  <c r="BH14" i="37"/>
  <c r="BH16" i="37"/>
  <c r="AK18" i="37"/>
  <c r="BH26" i="37"/>
  <c r="BH28" i="37"/>
  <c r="BH30" i="37"/>
  <c r="AK33"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6" i="39"/>
  <c r="E12" i="39"/>
  <c r="E41" i="40" s="1"/>
  <c r="BG6" i="39"/>
  <c r="BH6" i="39"/>
  <c r="F38" i="35"/>
  <c r="G38" i="35"/>
  <c r="H38" i="35"/>
  <c r="I38" i="35"/>
  <c r="J38" i="35"/>
  <c r="K38" i="35"/>
  <c r="L38" i="35"/>
  <c r="M38" i="35"/>
  <c r="N38" i="35"/>
  <c r="O38" i="35"/>
  <c r="P38" i="35"/>
  <c r="Q38" i="35"/>
  <c r="R38" i="35"/>
  <c r="S38" i="35"/>
  <c r="T38" i="35"/>
  <c r="U38" i="35"/>
  <c r="W38" i="35"/>
  <c r="X38" i="35"/>
  <c r="Y38" i="35"/>
  <c r="Y40" i="35" s="1"/>
  <c r="Z38" i="35"/>
  <c r="AA38" i="35"/>
  <c r="AB38" i="35"/>
  <c r="AC38" i="35"/>
  <c r="AC40" i="35" s="1"/>
  <c r="AD38" i="35"/>
  <c r="AE38" i="35"/>
  <c r="AE40" i="35" s="1"/>
  <c r="AF38" i="35"/>
  <c r="AG38" i="35"/>
  <c r="AH38" i="35"/>
  <c r="AI38" i="35"/>
  <c r="AJ38" i="35"/>
  <c r="AK38" i="35"/>
  <c r="AL38" i="35"/>
  <c r="AL40" i="35" s="1"/>
  <c r="AM38" i="35"/>
  <c r="AN38" i="35"/>
  <c r="AN40" i="35" s="1"/>
  <c r="AO38" i="35"/>
  <c r="AO40" i="35" s="1"/>
  <c r="AP38" i="35"/>
  <c r="AQ38" i="35"/>
  <c r="AR38" i="35"/>
  <c r="AR40" i="35" s="1"/>
  <c r="AS38" i="35"/>
  <c r="AT38" i="35"/>
  <c r="AU38" i="35"/>
  <c r="AV38" i="35"/>
  <c r="AW38" i="35"/>
  <c r="AX38" i="35"/>
  <c r="AY38" i="35"/>
  <c r="AZ38" i="35"/>
  <c r="BA38" i="35"/>
  <c r="BB38" i="35"/>
  <c r="BC38" i="35"/>
  <c r="BD38" i="35"/>
  <c r="BE38" i="35"/>
  <c r="BE40" i="35" s="1"/>
  <c r="V40" i="35"/>
  <c r="W40" i="35"/>
  <c r="Z40" i="35"/>
  <c r="AA40" i="35"/>
  <c r="AB40" i="35"/>
  <c r="AD40" i="35"/>
  <c r="AF40" i="35"/>
  <c r="AH40" i="35"/>
  <c r="AI40" i="35"/>
  <c r="AJ40" i="35"/>
  <c r="AM40" i="35"/>
  <c r="AP40" i="35"/>
  <c r="AQ40" i="35"/>
  <c r="AS40" i="35"/>
  <c r="AT40" i="35"/>
  <c r="AU40" i="35"/>
  <c r="AV40" i="35"/>
  <c r="AW40" i="35"/>
  <c r="AX40" i="35"/>
  <c r="AX42" i="35" s="1"/>
  <c r="AX24" i="40" s="1"/>
  <c r="AY40" i="35"/>
  <c r="AZ40" i="35"/>
  <c r="BA40" i="35"/>
  <c r="BB40" i="35"/>
  <c r="BC40" i="35"/>
  <c r="BD40"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I35" i="35" s="1"/>
  <c r="J26" i="35"/>
  <c r="J35" i="35" s="1"/>
  <c r="K26" i="35"/>
  <c r="L26" i="35"/>
  <c r="M26" i="35"/>
  <c r="N26" i="35"/>
  <c r="O26" i="35"/>
  <c r="P26" i="35"/>
  <c r="Q26" i="35"/>
  <c r="R26" i="35"/>
  <c r="S26" i="35"/>
  <c r="T26" i="35"/>
  <c r="U26" i="35"/>
  <c r="V26" i="35"/>
  <c r="V35" i="35" s="1"/>
  <c r="W26" i="35"/>
  <c r="X26" i="35"/>
  <c r="Y26" i="35"/>
  <c r="Z26" i="35"/>
  <c r="AA26" i="35"/>
  <c r="AB26" i="35"/>
  <c r="AC26" i="35"/>
  <c r="AD26" i="35"/>
  <c r="AE26" i="35"/>
  <c r="AF26" i="35"/>
  <c r="AG26" i="35"/>
  <c r="AH26" i="35"/>
  <c r="AI26" i="35"/>
  <c r="AJ26" i="35"/>
  <c r="AK26" i="35"/>
  <c r="AL26" i="35"/>
  <c r="AM26" i="35"/>
  <c r="AN26" i="35"/>
  <c r="AO26" i="35"/>
  <c r="AP26" i="35"/>
  <c r="AP35" i="35" s="1"/>
  <c r="AQ26" i="35"/>
  <c r="AR26" i="35"/>
  <c r="AS26" i="35"/>
  <c r="AT26" i="35"/>
  <c r="AU26" i="35"/>
  <c r="AV26" i="35"/>
  <c r="AW26" i="35"/>
  <c r="AX26" i="35"/>
  <c r="AY26" i="35"/>
  <c r="AZ26" i="35"/>
  <c r="BA26" i="35"/>
  <c r="BB26" i="35"/>
  <c r="BC26" i="35"/>
  <c r="BD26" i="35"/>
  <c r="BE26" i="35"/>
  <c r="F25" i="35"/>
  <c r="G25" i="35"/>
  <c r="G35" i="35" s="1"/>
  <c r="H25" i="35"/>
  <c r="I25" i="35"/>
  <c r="J25" i="35"/>
  <c r="K25" i="35"/>
  <c r="L25" i="35"/>
  <c r="M25" i="35"/>
  <c r="N25" i="35"/>
  <c r="O25" i="35"/>
  <c r="P25" i="35"/>
  <c r="Q25" i="35"/>
  <c r="Q35" i="35" s="1"/>
  <c r="R25" i="35"/>
  <c r="S25" i="35"/>
  <c r="S35" i="35" s="1"/>
  <c r="T25" i="35"/>
  <c r="U25" i="35"/>
  <c r="V25" i="35"/>
  <c r="W25" i="35"/>
  <c r="X25" i="35"/>
  <c r="Y25" i="35"/>
  <c r="Y35" i="35" s="1"/>
  <c r="Z25" i="35"/>
  <c r="AA25" i="35"/>
  <c r="AB25" i="35"/>
  <c r="AC25" i="35"/>
  <c r="AC35" i="35" s="1"/>
  <c r="AD25" i="35"/>
  <c r="AD35" i="35" s="1"/>
  <c r="AE25" i="35"/>
  <c r="AF25" i="35"/>
  <c r="AG25" i="35"/>
  <c r="AG35" i="35" s="1"/>
  <c r="AH25" i="35"/>
  <c r="AI25" i="35"/>
  <c r="AI35" i="35" s="1"/>
  <c r="AJ25" i="35"/>
  <c r="AK25" i="35"/>
  <c r="AL25" i="35"/>
  <c r="AM25" i="35"/>
  <c r="AN25" i="35"/>
  <c r="AO25" i="35"/>
  <c r="AP25" i="35"/>
  <c r="AQ25" i="35"/>
  <c r="AR25" i="35"/>
  <c r="AS25" i="35"/>
  <c r="AT25" i="35"/>
  <c r="AU25" i="35"/>
  <c r="AV25" i="35"/>
  <c r="AW25" i="35"/>
  <c r="AX25" i="35"/>
  <c r="AY25" i="35"/>
  <c r="AZ25" i="35"/>
  <c r="BA25" i="35"/>
  <c r="BA35" i="35" s="1"/>
  <c r="BB25" i="35"/>
  <c r="BC25" i="35"/>
  <c r="BD25" i="35"/>
  <c r="BE25" i="35"/>
  <c r="BE35" i="35" s="1"/>
  <c r="H35" i="35"/>
  <c r="K35" i="35"/>
  <c r="L35" i="35"/>
  <c r="M35" i="35"/>
  <c r="N35" i="35"/>
  <c r="O35" i="35"/>
  <c r="P35" i="35"/>
  <c r="R35" i="35"/>
  <c r="U35" i="35"/>
  <c r="W35" i="35"/>
  <c r="Z35" i="35"/>
  <c r="AA35" i="35"/>
  <c r="AB35" i="35"/>
  <c r="AE35" i="35"/>
  <c r="AF35" i="35"/>
  <c r="AH35" i="35"/>
  <c r="AJ35" i="35"/>
  <c r="AL35" i="35"/>
  <c r="AM35" i="35"/>
  <c r="AN35" i="35"/>
  <c r="AO35" i="35"/>
  <c r="AQ35" i="35"/>
  <c r="AR35" i="35"/>
  <c r="AS35" i="35"/>
  <c r="AT35" i="35"/>
  <c r="AU35" i="35"/>
  <c r="AV35" i="35"/>
  <c r="AW35" i="35"/>
  <c r="AX35" i="35"/>
  <c r="AY35" i="35"/>
  <c r="AZ35" i="35"/>
  <c r="BB35" i="35"/>
  <c r="BC35" i="35"/>
  <c r="BD35" i="35"/>
  <c r="F14" i="35"/>
  <c r="G14" i="35"/>
  <c r="H14" i="35"/>
  <c r="I14" i="35"/>
  <c r="J14" i="35"/>
  <c r="K14" i="35"/>
  <c r="L14" i="35"/>
  <c r="M14" i="35"/>
  <c r="N14" i="35"/>
  <c r="O14" i="35"/>
  <c r="P14" i="35"/>
  <c r="Q14" i="35"/>
  <c r="R14" i="35"/>
  <c r="S14" i="35"/>
  <c r="T14" i="35"/>
  <c r="U14" i="35"/>
  <c r="V14" i="35"/>
  <c r="W14" i="35"/>
  <c r="X14" i="35"/>
  <c r="Y14" i="35"/>
  <c r="Z14" i="35"/>
  <c r="AA14" i="35"/>
  <c r="AB14" i="35"/>
  <c r="AC14" i="35"/>
  <c r="AD14" i="35"/>
  <c r="AE14" i="35"/>
  <c r="AF14" i="35"/>
  <c r="AG14" i="35"/>
  <c r="AH14" i="35"/>
  <c r="AI14" i="35"/>
  <c r="AJ14" i="35"/>
  <c r="AK14" i="35"/>
  <c r="AL14" i="35"/>
  <c r="AM14" i="35"/>
  <c r="AN14" i="35"/>
  <c r="AO14" i="35"/>
  <c r="AP14" i="35"/>
  <c r="AQ14" i="35"/>
  <c r="AR14" i="35"/>
  <c r="AS14" i="35"/>
  <c r="AT14" i="35"/>
  <c r="AU14" i="35"/>
  <c r="AV14" i="35"/>
  <c r="AW14" i="35"/>
  <c r="AX14" i="35"/>
  <c r="AY14" i="35"/>
  <c r="AZ14" i="35"/>
  <c r="BA14" i="35"/>
  <c r="BB14" i="35"/>
  <c r="BC14" i="35"/>
  <c r="BD14" i="35"/>
  <c r="BE1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G16" i="35" s="1"/>
  <c r="H11" i="35"/>
  <c r="H16" i="35" s="1"/>
  <c r="I11" i="35"/>
  <c r="I16" i="35" s="1"/>
  <c r="J11" i="35"/>
  <c r="J16" i="35" s="1"/>
  <c r="K11" i="35"/>
  <c r="K16" i="35" s="1"/>
  <c r="L11" i="35"/>
  <c r="L16" i="35" s="1"/>
  <c r="M11" i="35"/>
  <c r="N11" i="35"/>
  <c r="N16" i="35" s="1"/>
  <c r="O11" i="35"/>
  <c r="O16" i="35" s="1"/>
  <c r="P11" i="35"/>
  <c r="P16" i="35" s="1"/>
  <c r="Q11" i="35"/>
  <c r="Q16" i="35" s="1"/>
  <c r="R11" i="35"/>
  <c r="R16" i="35" s="1"/>
  <c r="S11" i="35"/>
  <c r="S16" i="35" s="1"/>
  <c r="T11" i="35"/>
  <c r="T16" i="35" s="1"/>
  <c r="U11" i="35"/>
  <c r="V11" i="35"/>
  <c r="V16" i="35" s="1"/>
  <c r="W11" i="35"/>
  <c r="W16" i="35" s="1"/>
  <c r="X11" i="35"/>
  <c r="Y11" i="35"/>
  <c r="Y16" i="35" s="1"/>
  <c r="Z11" i="35"/>
  <c r="Z16" i="35" s="1"/>
  <c r="AA11" i="35"/>
  <c r="AA16" i="35" s="1"/>
  <c r="AB11" i="35"/>
  <c r="AB16" i="35" s="1"/>
  <c r="AC11" i="35"/>
  <c r="AD11" i="35"/>
  <c r="AD16" i="35" s="1"/>
  <c r="AE11" i="35"/>
  <c r="AE16" i="35" s="1"/>
  <c r="AF11" i="35"/>
  <c r="AF16" i="35" s="1"/>
  <c r="AG11" i="35"/>
  <c r="AG16" i="35" s="1"/>
  <c r="AH11" i="35"/>
  <c r="AH16" i="35" s="1"/>
  <c r="AI11" i="35"/>
  <c r="AI16" i="35" s="1"/>
  <c r="AJ11" i="35"/>
  <c r="AJ16" i="35" s="1"/>
  <c r="AK11" i="35"/>
  <c r="AK16" i="35" s="1"/>
  <c r="AL11" i="35"/>
  <c r="AL16" i="35" s="1"/>
  <c r="AM11" i="35"/>
  <c r="AM16" i="35" s="1"/>
  <c r="AN11" i="35"/>
  <c r="AN16" i="35" s="1"/>
  <c r="AO11" i="35"/>
  <c r="AO16" i="35" s="1"/>
  <c r="AP11" i="35"/>
  <c r="AP16" i="35" s="1"/>
  <c r="AQ11" i="35"/>
  <c r="AQ16" i="35" s="1"/>
  <c r="AR11" i="35"/>
  <c r="AR16" i="35" s="1"/>
  <c r="AS11" i="35"/>
  <c r="AT11" i="35"/>
  <c r="AT16" i="35" s="1"/>
  <c r="AU11" i="35"/>
  <c r="AU16" i="35" s="1"/>
  <c r="AV11" i="35"/>
  <c r="AV16" i="35" s="1"/>
  <c r="AW11" i="35"/>
  <c r="AW16" i="35" s="1"/>
  <c r="AX11" i="35"/>
  <c r="AX16" i="35" s="1"/>
  <c r="AY11" i="35"/>
  <c r="AY16" i="35" s="1"/>
  <c r="AZ11" i="35"/>
  <c r="AZ16" i="35" s="1"/>
  <c r="BA11" i="35"/>
  <c r="BB11" i="35"/>
  <c r="BB16" i="35" s="1"/>
  <c r="BC11" i="35"/>
  <c r="BC16" i="35" s="1"/>
  <c r="BD11" i="35"/>
  <c r="BD16" i="35" s="1"/>
  <c r="BE11" i="35"/>
  <c r="BE16" i="35" s="1"/>
  <c r="F7" i="35"/>
  <c r="G7" i="35"/>
  <c r="H7" i="35"/>
  <c r="I7" i="35"/>
  <c r="J7" i="35"/>
  <c r="K7" i="35"/>
  <c r="L7" i="35"/>
  <c r="M7" i="35"/>
  <c r="N7" i="35"/>
  <c r="O7" i="35"/>
  <c r="P7" i="35"/>
  <c r="Q7" i="35"/>
  <c r="R7" i="35"/>
  <c r="S7" i="35"/>
  <c r="T7" i="35"/>
  <c r="U7" i="35"/>
  <c r="V7" i="35"/>
  <c r="W7" i="35"/>
  <c r="X7" i="35"/>
  <c r="Y7" i="35"/>
  <c r="Z7" i="35"/>
  <c r="AA7" i="35"/>
  <c r="AB7" i="35"/>
  <c r="AC7" i="35"/>
  <c r="AD7" i="35"/>
  <c r="AE7" i="35"/>
  <c r="AF7" i="35"/>
  <c r="AG7" i="35"/>
  <c r="AH7" i="35"/>
  <c r="AI7" i="35"/>
  <c r="AJ7" i="35"/>
  <c r="AK7" i="35"/>
  <c r="AL7" i="35"/>
  <c r="AM7" i="35"/>
  <c r="AN7" i="35"/>
  <c r="AO7" i="35"/>
  <c r="AP7" i="35"/>
  <c r="AQ7" i="35"/>
  <c r="AR7" i="35"/>
  <c r="AS7" i="35"/>
  <c r="AT7" i="35"/>
  <c r="AU7" i="35"/>
  <c r="AV7" i="35"/>
  <c r="AW7" i="35"/>
  <c r="AX7" i="35"/>
  <c r="AY7" i="35"/>
  <c r="AZ7" i="35"/>
  <c r="BA7" i="35"/>
  <c r="BB7" i="35"/>
  <c r="BC7" i="35"/>
  <c r="BD7" i="35"/>
  <c r="BE7" i="35"/>
  <c r="F6" i="35"/>
  <c r="G6" i="35"/>
  <c r="G9" i="35" s="1"/>
  <c r="G15" i="40" s="1"/>
  <c r="H6" i="35"/>
  <c r="H9" i="35" s="1"/>
  <c r="H15" i="40" s="1"/>
  <c r="I6" i="35"/>
  <c r="J6" i="35"/>
  <c r="J9" i="35" s="1"/>
  <c r="J15" i="40" s="1"/>
  <c r="K6" i="35"/>
  <c r="K9" i="35" s="1"/>
  <c r="K15" i="40" s="1"/>
  <c r="L6" i="35"/>
  <c r="L9" i="35" s="1"/>
  <c r="L15" i="40" s="1"/>
  <c r="M6" i="35"/>
  <c r="M9" i="35" s="1"/>
  <c r="M15" i="40" s="1"/>
  <c r="N6" i="35"/>
  <c r="N9" i="35" s="1"/>
  <c r="N15" i="40" s="1"/>
  <c r="O6" i="35"/>
  <c r="O9" i="35" s="1"/>
  <c r="O15" i="40" s="1"/>
  <c r="P6" i="35"/>
  <c r="P9" i="35" s="1"/>
  <c r="P15" i="40" s="1"/>
  <c r="Q6" i="35"/>
  <c r="Q9" i="35" s="1"/>
  <c r="Q15" i="40" s="1"/>
  <c r="R6" i="35"/>
  <c r="R9" i="35" s="1"/>
  <c r="R15" i="40" s="1"/>
  <c r="S6" i="35"/>
  <c r="S9" i="35" s="1"/>
  <c r="S15" i="40" s="1"/>
  <c r="T6" i="35"/>
  <c r="T9" i="35" s="1"/>
  <c r="T15" i="40" s="1"/>
  <c r="U6" i="35"/>
  <c r="U9" i="35" s="1"/>
  <c r="U15" i="40" s="1"/>
  <c r="V6" i="35"/>
  <c r="V9" i="35" s="1"/>
  <c r="V15" i="40" s="1"/>
  <c r="W6" i="35"/>
  <c r="W9" i="35" s="1"/>
  <c r="W15" i="40" s="1"/>
  <c r="X6" i="35"/>
  <c r="Y6" i="35"/>
  <c r="Y9" i="35" s="1"/>
  <c r="Y15" i="40" s="1"/>
  <c r="Z6" i="35"/>
  <c r="Z9" i="35" s="1"/>
  <c r="Z15" i="40" s="1"/>
  <c r="AA6" i="35"/>
  <c r="AA9" i="35" s="1"/>
  <c r="AA15" i="40" s="1"/>
  <c r="AB6" i="35"/>
  <c r="AB9" i="35" s="1"/>
  <c r="AB15" i="40" s="1"/>
  <c r="AC6" i="35"/>
  <c r="AC9" i="35" s="1"/>
  <c r="AC15" i="40" s="1"/>
  <c r="AD6" i="35"/>
  <c r="AD9" i="35" s="1"/>
  <c r="AD15" i="40" s="1"/>
  <c r="AE6" i="35"/>
  <c r="AE9" i="35" s="1"/>
  <c r="AE15" i="40" s="1"/>
  <c r="AF6" i="35"/>
  <c r="AF9" i="35" s="1"/>
  <c r="AF15" i="40" s="1"/>
  <c r="AG6" i="35"/>
  <c r="AG9" i="35" s="1"/>
  <c r="AG15" i="40" s="1"/>
  <c r="AH6" i="35"/>
  <c r="AH9" i="35" s="1"/>
  <c r="AH15" i="40" s="1"/>
  <c r="AI6" i="35"/>
  <c r="AI9" i="35" s="1"/>
  <c r="AI15" i="40" s="1"/>
  <c r="AJ6" i="35"/>
  <c r="AJ9" i="35" s="1"/>
  <c r="AJ15" i="40" s="1"/>
  <c r="AK6" i="35"/>
  <c r="AL6" i="35"/>
  <c r="AL9" i="35" s="1"/>
  <c r="AL15" i="40" s="1"/>
  <c r="AM6" i="35"/>
  <c r="AM9" i="35" s="1"/>
  <c r="AM15" i="40" s="1"/>
  <c r="AN6" i="35"/>
  <c r="AN9" i="35" s="1"/>
  <c r="AN15" i="40" s="1"/>
  <c r="AO6" i="35"/>
  <c r="AO9" i="35" s="1"/>
  <c r="AO15" i="40" s="1"/>
  <c r="AP6" i="35"/>
  <c r="AP9" i="35" s="1"/>
  <c r="AP15" i="40" s="1"/>
  <c r="AQ6" i="35"/>
  <c r="AQ9" i="35" s="1"/>
  <c r="AQ15" i="40" s="1"/>
  <c r="AR6" i="35"/>
  <c r="AR9" i="35" s="1"/>
  <c r="AR15" i="40" s="1"/>
  <c r="AS6" i="35"/>
  <c r="AS9" i="35" s="1"/>
  <c r="AS15" i="40" s="1"/>
  <c r="AT6" i="35"/>
  <c r="AT9" i="35" s="1"/>
  <c r="AT15" i="40" s="1"/>
  <c r="AU6" i="35"/>
  <c r="AU9" i="35" s="1"/>
  <c r="AU15" i="40" s="1"/>
  <c r="AV6" i="35"/>
  <c r="AV9" i="35" s="1"/>
  <c r="AV15" i="40" s="1"/>
  <c r="AW6" i="35"/>
  <c r="AW9" i="35" s="1"/>
  <c r="AW15" i="40" s="1"/>
  <c r="AX6" i="35"/>
  <c r="AX9" i="35" s="1"/>
  <c r="AX15" i="40" s="1"/>
  <c r="AY6" i="35"/>
  <c r="AY9" i="35" s="1"/>
  <c r="AY15" i="40" s="1"/>
  <c r="AZ6" i="35"/>
  <c r="AZ9" i="35" s="1"/>
  <c r="AZ15" i="40" s="1"/>
  <c r="BA6" i="35"/>
  <c r="BA9" i="35" s="1"/>
  <c r="BA15" i="40" s="1"/>
  <c r="BB6" i="35"/>
  <c r="BB9" i="35" s="1"/>
  <c r="BB15" i="40" s="1"/>
  <c r="BC6" i="35"/>
  <c r="BC9" i="35" s="1"/>
  <c r="BC15" i="40" s="1"/>
  <c r="BD6" i="35"/>
  <c r="BD9" i="35" s="1"/>
  <c r="BD15" i="40" s="1"/>
  <c r="BE6" i="35"/>
  <c r="BE9" i="35" s="1"/>
  <c r="BE15" i="40" s="1"/>
  <c r="BA37" i="37" l="1"/>
  <c r="BA33" i="40" s="1"/>
  <c r="T35" i="35"/>
  <c r="T22" i="40" s="1"/>
  <c r="AJ19" i="36"/>
  <c r="AJ27" i="40" s="1"/>
  <c r="AI20" i="38"/>
  <c r="R34" i="36"/>
  <c r="R29" i="40" s="1"/>
  <c r="AF34" i="36"/>
  <c r="AF29" i="40" s="1"/>
  <c r="AZ42" i="35"/>
  <c r="AZ24" i="40" s="1"/>
  <c r="AJ42" i="35"/>
  <c r="AJ24" i="40" s="1"/>
  <c r="BC42" i="35"/>
  <c r="BC24" i="40" s="1"/>
  <c r="AY42" i="35"/>
  <c r="AY24" i="40" s="1"/>
  <c r="AI42" i="35"/>
  <c r="AI24" i="40" s="1"/>
  <c r="AA42" i="35"/>
  <c r="AA24" i="40" s="1"/>
  <c r="AG40" i="35"/>
  <c r="Y37" i="37"/>
  <c r="Y33" i="40" s="1"/>
  <c r="AC37" i="37"/>
  <c r="AC33" i="40" s="1"/>
  <c r="AG37" i="37"/>
  <c r="AG33" i="40" s="1"/>
  <c r="AM37" i="37"/>
  <c r="AM33" i="40" s="1"/>
  <c r="AS37" i="37"/>
  <c r="AS33" i="40" s="1"/>
  <c r="AY37" i="37"/>
  <c r="AY33" i="40" s="1"/>
  <c r="BC37" i="37"/>
  <c r="BC33" i="40" s="1"/>
  <c r="BE37" i="37"/>
  <c r="BE33" i="40" s="1"/>
  <c r="J37" i="37"/>
  <c r="J33" i="40" s="1"/>
  <c r="R37" i="37"/>
  <c r="R33" i="40" s="1"/>
  <c r="AP37" i="37"/>
  <c r="AP33" i="40" s="1"/>
  <c r="D12" i="43"/>
  <c r="AI37" i="37"/>
  <c r="AI33" i="40" s="1"/>
  <c r="AI19" i="36"/>
  <c r="AI27" i="40" s="1"/>
  <c r="AJ32" i="36"/>
  <c r="O34" i="36"/>
  <c r="O29" i="40" s="1"/>
  <c r="Q34" i="36"/>
  <c r="Q29" i="40" s="1"/>
  <c r="AE34" i="36"/>
  <c r="AE29" i="40" s="1"/>
  <c r="AO34" i="36"/>
  <c r="AO29" i="40" s="1"/>
  <c r="AQ34" i="36"/>
  <c r="AQ29" i="40" s="1"/>
  <c r="AU34" i="36"/>
  <c r="AU29" i="40" s="1"/>
  <c r="AW34" i="36"/>
  <c r="AW29" i="40" s="1"/>
  <c r="F34" i="36"/>
  <c r="F29" i="40" s="1"/>
  <c r="P34" i="36"/>
  <c r="P29" i="40" s="1"/>
  <c r="T34" i="36"/>
  <c r="T29" i="40" s="1"/>
  <c r="V34" i="36"/>
  <c r="V29" i="40" s="1"/>
  <c r="Z34" i="36"/>
  <c r="Z29" i="40" s="1"/>
  <c r="AH34" i="36"/>
  <c r="AH29" i="40" s="1"/>
  <c r="AJ34" i="36"/>
  <c r="AJ29" i="40" s="1"/>
  <c r="AL34" i="36"/>
  <c r="AL29" i="40" s="1"/>
  <c r="AT34" i="36"/>
  <c r="AT29" i="40" s="1"/>
  <c r="AV34" i="36"/>
  <c r="AV29" i="40" s="1"/>
  <c r="AX34" i="36"/>
  <c r="AX29" i="40" s="1"/>
  <c r="AZ34" i="36"/>
  <c r="AZ29" i="40" s="1"/>
  <c r="BB34" i="36"/>
  <c r="BB29" i="40" s="1"/>
  <c r="D15" i="43"/>
  <c r="U40" i="35"/>
  <c r="U42" i="35" s="1"/>
  <c r="U24" i="40" s="1"/>
  <c r="S40" i="35"/>
  <c r="S42" i="35" s="1"/>
  <c r="S24" i="40" s="1"/>
  <c r="Q40" i="35"/>
  <c r="Q42" i="35" s="1"/>
  <c r="Q24" i="40" s="1"/>
  <c r="O40" i="35"/>
  <c r="O42" i="35" s="1"/>
  <c r="O24" i="40" s="1"/>
  <c r="BF9" i="38"/>
  <c r="Q37" i="37"/>
  <c r="Q33" i="40" s="1"/>
  <c r="AW37" i="37"/>
  <c r="AW33" i="40" s="1"/>
  <c r="F37" i="37"/>
  <c r="F33" i="40" s="1"/>
  <c r="V37" i="37"/>
  <c r="V33" i="40" s="1"/>
  <c r="Z37" i="37"/>
  <c r="Z33" i="40" s="1"/>
  <c r="M40" i="35"/>
  <c r="K40" i="35"/>
  <c r="I40" i="35"/>
  <c r="I42" i="35" s="1"/>
  <c r="I24" i="40" s="1"/>
  <c r="G40" i="35"/>
  <c r="G42" i="35" s="1"/>
  <c r="G24" i="40" s="1"/>
  <c r="BD42" i="35"/>
  <c r="BD24" i="40" s="1"/>
  <c r="BB42" i="35"/>
  <c r="BB24" i="40" s="1"/>
  <c r="AV42" i="35"/>
  <c r="AV24" i="40" s="1"/>
  <c r="AT42" i="35"/>
  <c r="AT24" i="40" s="1"/>
  <c r="AR42" i="35"/>
  <c r="AR24" i="40" s="1"/>
  <c r="AN42" i="35"/>
  <c r="AN24" i="40" s="1"/>
  <c r="AL42" i="35"/>
  <c r="AL24" i="40" s="1"/>
  <c r="AH42" i="35"/>
  <c r="AH24" i="40" s="1"/>
  <c r="AF42" i="35"/>
  <c r="AF24" i="40" s="1"/>
  <c r="T40" i="35"/>
  <c r="T42" i="35" s="1"/>
  <c r="T24" i="40" s="1"/>
  <c r="R40" i="35"/>
  <c r="R42" i="35" s="1"/>
  <c r="R24" i="40" s="1"/>
  <c r="P40" i="35"/>
  <c r="P42" i="35" s="1"/>
  <c r="P24" i="40" s="1"/>
  <c r="N40" i="35"/>
  <c r="N42" i="35" s="1"/>
  <c r="N24" i="40" s="1"/>
  <c r="L40" i="35"/>
  <c r="L42" i="35" s="1"/>
  <c r="L24" i="40" s="1"/>
  <c r="J40" i="35"/>
  <c r="J42" i="35" s="1"/>
  <c r="J24" i="40" s="1"/>
  <c r="H40" i="35"/>
  <c r="H42" i="35" s="1"/>
  <c r="H24" i="40" s="1"/>
  <c r="AA34" i="36"/>
  <c r="AA29" i="40" s="1"/>
  <c r="BE42" i="35"/>
  <c r="BE24" i="40" s="1"/>
  <c r="BA42" i="35"/>
  <c r="BA24" i="40" s="1"/>
  <c r="AW42" i="35"/>
  <c r="AW24" i="40" s="1"/>
  <c r="AU42" i="35"/>
  <c r="AU24" i="40" s="1"/>
  <c r="AS42" i="35"/>
  <c r="AS24" i="40" s="1"/>
  <c r="AQ42" i="35"/>
  <c r="AQ24" i="40" s="1"/>
  <c r="AO42" i="35"/>
  <c r="AO24" i="40" s="1"/>
  <c r="AM42" i="35"/>
  <c r="AM24" i="40" s="1"/>
  <c r="AG42" i="35"/>
  <c r="AG24" i="40" s="1"/>
  <c r="AC42" i="35"/>
  <c r="AC24" i="40" s="1"/>
  <c r="Y42" i="35"/>
  <c r="Y24" i="40" s="1"/>
  <c r="W42" i="35"/>
  <c r="W24" i="40" s="1"/>
  <c r="K42" i="35"/>
  <c r="K24" i="40" s="1"/>
  <c r="H37" i="37"/>
  <c r="H33" i="40" s="1"/>
  <c r="AJ37" i="37"/>
  <c r="AJ33" i="40" s="1"/>
  <c r="AR37" i="37"/>
  <c r="AR33" i="40" s="1"/>
  <c r="AZ37" i="37"/>
  <c r="AZ33" i="40" s="1"/>
  <c r="AT37" i="37"/>
  <c r="AT33" i="40" s="1"/>
  <c r="AX37" i="37"/>
  <c r="AX33" i="40" s="1"/>
  <c r="AP42" i="35"/>
  <c r="AP24" i="40" s="1"/>
  <c r="AB42" i="35"/>
  <c r="AB24" i="40" s="1"/>
  <c r="AE42" i="35"/>
  <c r="AE24" i="40" s="1"/>
  <c r="V42" i="35"/>
  <c r="V24" i="40" s="1"/>
  <c r="T37" i="37"/>
  <c r="T33" i="40" s="1"/>
  <c r="BB37" i="37"/>
  <c r="BB33" i="40" s="1"/>
  <c r="AV37" i="37"/>
  <c r="AV33" i="40" s="1"/>
  <c r="AS16" i="35"/>
  <c r="AS10" i="39" s="1"/>
  <c r="AS12" i="39" s="1"/>
  <c r="AS41" i="40" s="1"/>
  <c r="AQ37" i="37"/>
  <c r="AQ33" i="40" s="1"/>
  <c r="AO37" i="37"/>
  <c r="AO33" i="40" s="1"/>
  <c r="AN34" i="36"/>
  <c r="AN29" i="40" s="1"/>
  <c r="AN37" i="37"/>
  <c r="AN33" i="40" s="1"/>
  <c r="AL37" i="37"/>
  <c r="AL33" i="40" s="1"/>
  <c r="AH37" i="37"/>
  <c r="AH33" i="40" s="1"/>
  <c r="AF37" i="37"/>
  <c r="AF33" i="40" s="1"/>
  <c r="AB37" i="37"/>
  <c r="AB33" i="40" s="1"/>
  <c r="AE37" i="37"/>
  <c r="AE33" i="40" s="1"/>
  <c r="AC16" i="35"/>
  <c r="AC10" i="39" s="1"/>
  <c r="AC12" i="39" s="1"/>
  <c r="AC41" i="40" s="1"/>
  <c r="AA37" i="37"/>
  <c r="AA33" i="40" s="1"/>
  <c r="U16" i="35"/>
  <c r="U10" i="39" s="1"/>
  <c r="U12" i="39" s="1"/>
  <c r="U41" i="40" s="1"/>
  <c r="AU37" i="37"/>
  <c r="AU33" i="40" s="1"/>
  <c r="AD42" i="35"/>
  <c r="AD24" i="40" s="1"/>
  <c r="AD37" i="37"/>
  <c r="AD33" i="40" s="1"/>
  <c r="P37" i="37"/>
  <c r="P33" i="40" s="1"/>
  <c r="G37" i="37"/>
  <c r="G33" i="40" s="1"/>
  <c r="I9" i="35"/>
  <c r="I15" i="40" s="1"/>
  <c r="BD37" i="37"/>
  <c r="BD33" i="40" s="1"/>
  <c r="L37" i="37"/>
  <c r="L33" i="40" s="1"/>
  <c r="M42" i="35"/>
  <c r="M24" i="40" s="1"/>
  <c r="M16" i="35"/>
  <c r="M10" i="39" s="1"/>
  <c r="M12" i="39" s="1"/>
  <c r="M41" i="40" s="1"/>
  <c r="Z42" i="35"/>
  <c r="Z24" i="40" s="1"/>
  <c r="BA16" i="35"/>
  <c r="BA10" i="39" s="1"/>
  <c r="BA12" i="39" s="1"/>
  <c r="BA41" i="40" s="1"/>
  <c r="BH33" i="37"/>
  <c r="O37" i="37"/>
  <c r="O33" i="40" s="1"/>
  <c r="BE10" i="39"/>
  <c r="BE12" i="39" s="1"/>
  <c r="BE41" i="40" s="1"/>
  <c r="BE18" i="35"/>
  <c r="BE17" i="40" s="1"/>
  <c r="AW10" i="39"/>
  <c r="AW12" i="39" s="1"/>
  <c r="AW41" i="40" s="1"/>
  <c r="AW18" i="35"/>
  <c r="AW17" i="40" s="1"/>
  <c r="AO10" i="39"/>
  <c r="AO12" i="39" s="1"/>
  <c r="AO41" i="40" s="1"/>
  <c r="AO18" i="35"/>
  <c r="AO17" i="40" s="1"/>
  <c r="AG10" i="39"/>
  <c r="AG12" i="39" s="1"/>
  <c r="AG41" i="40" s="1"/>
  <c r="AG18" i="35"/>
  <c r="AG17" i="40" s="1"/>
  <c r="Y10" i="39"/>
  <c r="Y12" i="39" s="1"/>
  <c r="Y41" i="40" s="1"/>
  <c r="Y18" i="35"/>
  <c r="Y17" i="40" s="1"/>
  <c r="Q10" i="39"/>
  <c r="Q12" i="39" s="1"/>
  <c r="Q41" i="40" s="1"/>
  <c r="Q18" i="35"/>
  <c r="Q17" i="40" s="1"/>
  <c r="I10" i="39"/>
  <c r="I12" i="39" s="1"/>
  <c r="I41" i="40" s="1"/>
  <c r="BG6" i="35"/>
  <c r="BF6" i="35"/>
  <c r="F9" i="35"/>
  <c r="BG7" i="35"/>
  <c r="BF7" i="35"/>
  <c r="AK10" i="39"/>
  <c r="X9" i="35"/>
  <c r="BC10" i="39"/>
  <c r="BC12" i="39" s="1"/>
  <c r="BC41" i="40" s="1"/>
  <c r="BC18" i="35"/>
  <c r="BC17" i="40" s="1"/>
  <c r="AY10" i="39"/>
  <c r="AY12" i="39" s="1"/>
  <c r="AY41" i="40" s="1"/>
  <c r="AY18" i="35"/>
  <c r="AY17" i="40" s="1"/>
  <c r="AU10" i="39"/>
  <c r="AU12" i="39" s="1"/>
  <c r="AU41" i="40" s="1"/>
  <c r="AU18" i="35"/>
  <c r="AU17" i="40" s="1"/>
  <c r="AQ10" i="39"/>
  <c r="AQ12" i="39" s="1"/>
  <c r="AQ41" i="40" s="1"/>
  <c r="AQ18" i="35"/>
  <c r="AQ17" i="40" s="1"/>
  <c r="AM10" i="39"/>
  <c r="AM12" i="39" s="1"/>
  <c r="AM41" i="40" s="1"/>
  <c r="AM18" i="35"/>
  <c r="AM17" i="40" s="1"/>
  <c r="BH11" i="35"/>
  <c r="AI10" i="39"/>
  <c r="AI12" i="39" s="1"/>
  <c r="AI41" i="40" s="1"/>
  <c r="AI18" i="35"/>
  <c r="AI17" i="40" s="1"/>
  <c r="AE10" i="39"/>
  <c r="AE12" i="39" s="1"/>
  <c r="AE41" i="40" s="1"/>
  <c r="AE18" i="35"/>
  <c r="AE17" i="40" s="1"/>
  <c r="AA10" i="39"/>
  <c r="AA12" i="39" s="1"/>
  <c r="AA41" i="40" s="1"/>
  <c r="AA18" i="35"/>
  <c r="AA17" i="40" s="1"/>
  <c r="W10" i="39"/>
  <c r="W12" i="39" s="1"/>
  <c r="W41" i="40" s="1"/>
  <c r="W18" i="35"/>
  <c r="W17" i="40" s="1"/>
  <c r="S10" i="39"/>
  <c r="S12" i="39" s="1"/>
  <c r="S41" i="40" s="1"/>
  <c r="S18" i="35"/>
  <c r="S17" i="40" s="1"/>
  <c r="O10" i="39"/>
  <c r="O12" i="39" s="1"/>
  <c r="O41" i="40" s="1"/>
  <c r="O18" i="35"/>
  <c r="O17" i="40" s="1"/>
  <c r="K10" i="39"/>
  <c r="K12" i="39" s="1"/>
  <c r="K41" i="40" s="1"/>
  <c r="K18" i="35"/>
  <c r="K17" i="40" s="1"/>
  <c r="G10" i="39"/>
  <c r="G12" i="39" s="1"/>
  <c r="G41" i="40" s="1"/>
  <c r="G18" i="35"/>
  <c r="G17" i="40" s="1"/>
  <c r="BH12" i="35"/>
  <c r="BH13" i="35"/>
  <c r="BH14" i="35"/>
  <c r="BE22" i="40"/>
  <c r="BE18" i="38"/>
  <c r="BE22" i="38" s="1"/>
  <c r="BE37" i="40" s="1"/>
  <c r="BC22" i="40"/>
  <c r="BC18" i="38"/>
  <c r="BC22" i="38" s="1"/>
  <c r="BC37" i="40" s="1"/>
  <c r="BA22" i="40"/>
  <c r="BA18" i="38"/>
  <c r="BA22" i="38" s="1"/>
  <c r="BA37" i="40" s="1"/>
  <c r="AY22" i="40"/>
  <c r="AY18" i="38"/>
  <c r="AY22" i="38" s="1"/>
  <c r="AY37" i="40" s="1"/>
  <c r="AW22" i="40"/>
  <c r="AW18" i="38"/>
  <c r="AW22" i="38" s="1"/>
  <c r="AW37" i="40" s="1"/>
  <c r="AU22" i="40"/>
  <c r="AU18" i="38"/>
  <c r="AU22" i="38" s="1"/>
  <c r="AU37" i="40" s="1"/>
  <c r="AS22" i="40"/>
  <c r="AS18" i="38"/>
  <c r="AS22" i="38" s="1"/>
  <c r="AS37" i="40" s="1"/>
  <c r="AQ22" i="40"/>
  <c r="AQ18" i="38"/>
  <c r="AQ22" i="38" s="1"/>
  <c r="AQ37" i="40" s="1"/>
  <c r="AO22" i="40"/>
  <c r="AO18" i="38"/>
  <c r="AO22" i="38" s="1"/>
  <c r="AO37" i="40" s="1"/>
  <c r="AM22" i="40"/>
  <c r="AM18" i="38"/>
  <c r="AM22" i="38" s="1"/>
  <c r="AM37" i="40" s="1"/>
  <c r="AI22" i="40"/>
  <c r="AI18" i="38"/>
  <c r="AG22" i="40"/>
  <c r="AG18" i="38"/>
  <c r="AG22" i="38" s="1"/>
  <c r="AG37" i="40" s="1"/>
  <c r="AE22" i="40"/>
  <c r="AE18" i="38"/>
  <c r="AE22" i="38" s="1"/>
  <c r="AE37" i="40" s="1"/>
  <c r="AC22" i="40"/>
  <c r="AC18" i="38"/>
  <c r="AC22" i="38" s="1"/>
  <c r="AC37" i="40" s="1"/>
  <c r="AA22" i="40"/>
  <c r="AA18" i="38"/>
  <c r="AA22" i="38" s="1"/>
  <c r="AA37" i="40" s="1"/>
  <c r="Y22" i="40"/>
  <c r="Y18" i="38"/>
  <c r="Y22" i="38" s="1"/>
  <c r="Y37" i="40" s="1"/>
  <c r="W22" i="40"/>
  <c r="W18" i="38"/>
  <c r="W22" i="38" s="1"/>
  <c r="W37" i="40" s="1"/>
  <c r="U22" i="40"/>
  <c r="U18" i="38"/>
  <c r="U22" i="38" s="1"/>
  <c r="U37" i="40" s="1"/>
  <c r="S22" i="40"/>
  <c r="S18" i="38"/>
  <c r="S22" i="38" s="1"/>
  <c r="S37" i="40" s="1"/>
  <c r="Q22" i="40"/>
  <c r="Q18" i="38"/>
  <c r="Q22" i="38" s="1"/>
  <c r="Q37" i="40" s="1"/>
  <c r="O22" i="40"/>
  <c r="O18" i="38"/>
  <c r="O22" i="38" s="1"/>
  <c r="O37" i="40" s="1"/>
  <c r="M22" i="40"/>
  <c r="M18" i="38"/>
  <c r="M22" i="38" s="1"/>
  <c r="M37" i="40" s="1"/>
  <c r="K22" i="40"/>
  <c r="K18" i="38"/>
  <c r="K22" i="38" s="1"/>
  <c r="K37" i="40" s="1"/>
  <c r="I22" i="40"/>
  <c r="I18" i="38"/>
  <c r="I22" i="38" s="1"/>
  <c r="I37" i="40" s="1"/>
  <c r="G22" i="40"/>
  <c r="G18" i="38"/>
  <c r="G22" i="38" s="1"/>
  <c r="G37" i="40" s="1"/>
  <c r="BH24" i="35"/>
  <c r="BH25" i="35"/>
  <c r="BH26" i="35"/>
  <c r="BH27" i="35"/>
  <c r="BH28" i="35"/>
  <c r="BH29" i="35"/>
  <c r="BH30" i="35"/>
  <c r="BH31" i="35"/>
  <c r="BH32" i="35"/>
  <c r="BH33" i="35"/>
  <c r="AK35" i="35"/>
  <c r="BH37" i="35"/>
  <c r="BH38" i="35"/>
  <c r="AK40" i="35"/>
  <c r="BH6" i="35"/>
  <c r="BH7" i="35"/>
  <c r="AK9" i="35"/>
  <c r="AK18" i="35" s="1"/>
  <c r="AK17" i="40" s="1"/>
  <c r="BD10" i="39"/>
  <c r="BD12" i="39" s="1"/>
  <c r="BD41" i="40" s="1"/>
  <c r="BD18" i="35"/>
  <c r="BD17" i="40" s="1"/>
  <c r="BB10" i="39"/>
  <c r="BB12" i="39" s="1"/>
  <c r="BB41" i="40" s="1"/>
  <c r="BB18" i="35"/>
  <c r="BB17" i="40" s="1"/>
  <c r="AZ10" i="39"/>
  <c r="AZ12" i="39" s="1"/>
  <c r="AZ41" i="40" s="1"/>
  <c r="AZ18" i="35"/>
  <c r="AZ17" i="40" s="1"/>
  <c r="AX10" i="39"/>
  <c r="AX12" i="39" s="1"/>
  <c r="AX41" i="40" s="1"/>
  <c r="AX18" i="35"/>
  <c r="AX17" i="40" s="1"/>
  <c r="AV10" i="39"/>
  <c r="AV12" i="39" s="1"/>
  <c r="AV41" i="40" s="1"/>
  <c r="AV18" i="35"/>
  <c r="AV17" i="40" s="1"/>
  <c r="AT10" i="39"/>
  <c r="AT12" i="39" s="1"/>
  <c r="AT41" i="40" s="1"/>
  <c r="AT18" i="35"/>
  <c r="AT17" i="40" s="1"/>
  <c r="AR10" i="39"/>
  <c r="AR12" i="39" s="1"/>
  <c r="AR41" i="40" s="1"/>
  <c r="AR18" i="35"/>
  <c r="AR17" i="40" s="1"/>
  <c r="AP10" i="39"/>
  <c r="AP12" i="39" s="1"/>
  <c r="AP41" i="40" s="1"/>
  <c r="AP18" i="35"/>
  <c r="AP17" i="40" s="1"/>
  <c r="AN10" i="39"/>
  <c r="AN12" i="39" s="1"/>
  <c r="AN41" i="40" s="1"/>
  <c r="AN18" i="35"/>
  <c r="AN17" i="40" s="1"/>
  <c r="AL10" i="39"/>
  <c r="AL12" i="39" s="1"/>
  <c r="AL41" i="40" s="1"/>
  <c r="AL18" i="35"/>
  <c r="AL17" i="40" s="1"/>
  <c r="AJ10" i="39"/>
  <c r="AJ12" i="39" s="1"/>
  <c r="AJ41" i="40" s="1"/>
  <c r="AJ18" i="35"/>
  <c r="AJ17" i="40" s="1"/>
  <c r="AH10" i="39"/>
  <c r="AH12" i="39" s="1"/>
  <c r="AH41" i="40" s="1"/>
  <c r="AH18" i="35"/>
  <c r="AH17" i="40" s="1"/>
  <c r="AF10" i="39"/>
  <c r="AF12" i="39" s="1"/>
  <c r="AF41" i="40" s="1"/>
  <c r="AF18" i="35"/>
  <c r="AF17" i="40" s="1"/>
  <c r="AD10" i="39"/>
  <c r="AD12" i="39" s="1"/>
  <c r="AD41" i="40" s="1"/>
  <c r="AD18" i="35"/>
  <c r="AD17" i="40" s="1"/>
  <c r="AB10" i="39"/>
  <c r="AB12" i="39" s="1"/>
  <c r="AB41" i="40" s="1"/>
  <c r="AB18" i="35"/>
  <c r="AB17" i="40" s="1"/>
  <c r="Z10" i="39"/>
  <c r="Z12" i="39" s="1"/>
  <c r="Z41" i="40" s="1"/>
  <c r="Z18" i="35"/>
  <c r="Z17" i="40" s="1"/>
  <c r="V10" i="39"/>
  <c r="V12" i="39" s="1"/>
  <c r="V41" i="40" s="1"/>
  <c r="V18" i="35"/>
  <c r="V17" i="40" s="1"/>
  <c r="T10" i="39"/>
  <c r="T12" i="39" s="1"/>
  <c r="T41" i="40" s="1"/>
  <c r="T18" i="35"/>
  <c r="T17" i="40" s="1"/>
  <c r="R10" i="39"/>
  <c r="R12" i="39" s="1"/>
  <c r="R41" i="40" s="1"/>
  <c r="R18" i="35"/>
  <c r="R17" i="40" s="1"/>
  <c r="P10" i="39"/>
  <c r="P12" i="39" s="1"/>
  <c r="P41" i="40" s="1"/>
  <c r="P18" i="35"/>
  <c r="P17" i="40" s="1"/>
  <c r="N10" i="39"/>
  <c r="N12" i="39" s="1"/>
  <c r="N41" i="40" s="1"/>
  <c r="N18" i="35"/>
  <c r="N17" i="40" s="1"/>
  <c r="L10" i="39"/>
  <c r="L12" i="39" s="1"/>
  <c r="L41" i="40" s="1"/>
  <c r="L18" i="35"/>
  <c r="L17" i="40" s="1"/>
  <c r="J10" i="39"/>
  <c r="J12" i="39" s="1"/>
  <c r="J41" i="40" s="1"/>
  <c r="J18" i="35"/>
  <c r="J17" i="40" s="1"/>
  <c r="H10" i="39"/>
  <c r="H12" i="39" s="1"/>
  <c r="H41" i="40" s="1"/>
  <c r="H18" i="35"/>
  <c r="H17" i="40" s="1"/>
  <c r="BD22" i="40"/>
  <c r="BD18" i="38"/>
  <c r="BD22" i="38" s="1"/>
  <c r="BD37" i="40" s="1"/>
  <c r="BB22" i="40"/>
  <c r="BB18" i="38"/>
  <c r="BB22" i="38" s="1"/>
  <c r="BB37" i="40" s="1"/>
  <c r="AZ22" i="40"/>
  <c r="AZ18" i="38"/>
  <c r="AZ22" i="38" s="1"/>
  <c r="AZ37" i="40" s="1"/>
  <c r="AX22" i="40"/>
  <c r="AX18" i="38"/>
  <c r="AX22" i="38" s="1"/>
  <c r="AX37" i="40" s="1"/>
  <c r="AV22" i="40"/>
  <c r="AV18" i="38"/>
  <c r="AV22" i="38" s="1"/>
  <c r="AV37" i="40" s="1"/>
  <c r="AT22" i="40"/>
  <c r="AT18" i="38"/>
  <c r="AT22" i="38" s="1"/>
  <c r="AT37" i="40" s="1"/>
  <c r="AR22" i="40"/>
  <c r="AR18" i="38"/>
  <c r="AR22" i="38" s="1"/>
  <c r="AR37" i="40" s="1"/>
  <c r="AP22" i="40"/>
  <c r="AP18" i="38"/>
  <c r="AP22" i="38" s="1"/>
  <c r="AP37" i="40" s="1"/>
  <c r="AN22" i="40"/>
  <c r="AN18" i="38"/>
  <c r="AN22" i="38" s="1"/>
  <c r="AN37" i="40" s="1"/>
  <c r="AL22" i="40"/>
  <c r="AL18" i="38"/>
  <c r="AL22" i="38" s="1"/>
  <c r="AL37" i="40" s="1"/>
  <c r="AJ22" i="40"/>
  <c r="AJ18" i="38"/>
  <c r="AJ22" i="38" s="1"/>
  <c r="AJ37" i="40" s="1"/>
  <c r="AH22" i="40"/>
  <c r="AH18" i="38"/>
  <c r="AH22" i="38" s="1"/>
  <c r="AH37" i="40" s="1"/>
  <c r="AF22" i="40"/>
  <c r="AF18" i="38"/>
  <c r="AF22" i="38" s="1"/>
  <c r="AF37" i="40" s="1"/>
  <c r="AD22" i="40"/>
  <c r="AD18" i="38"/>
  <c r="AD22" i="38" s="1"/>
  <c r="AD37" i="40" s="1"/>
  <c r="AB22" i="40"/>
  <c r="AB18" i="38"/>
  <c r="AB22" i="38" s="1"/>
  <c r="AB37" i="40" s="1"/>
  <c r="Z22" i="40"/>
  <c r="Z18" i="38"/>
  <c r="Z22" i="38" s="1"/>
  <c r="Z37" i="40" s="1"/>
  <c r="V22" i="40"/>
  <c r="V18" i="38"/>
  <c r="V22" i="38" s="1"/>
  <c r="V37" i="40" s="1"/>
  <c r="T18" i="38"/>
  <c r="T22" i="38" s="1"/>
  <c r="T37" i="40" s="1"/>
  <c r="R22" i="40"/>
  <c r="R18" i="38"/>
  <c r="R22" i="38" s="1"/>
  <c r="R37" i="40" s="1"/>
  <c r="P22" i="40"/>
  <c r="P18" i="38"/>
  <c r="P22" i="38" s="1"/>
  <c r="P37" i="40" s="1"/>
  <c r="N22" i="40"/>
  <c r="N18" i="38"/>
  <c r="N22" i="38" s="1"/>
  <c r="N37" i="40" s="1"/>
  <c r="L22" i="40"/>
  <c r="L18" i="38"/>
  <c r="L22" i="38" s="1"/>
  <c r="L37" i="40" s="1"/>
  <c r="J22" i="40"/>
  <c r="J18" i="38"/>
  <c r="J22" i="38" s="1"/>
  <c r="J37" i="40" s="1"/>
  <c r="H22" i="40"/>
  <c r="H18" i="38"/>
  <c r="H22" i="38" s="1"/>
  <c r="H37" i="40" s="1"/>
  <c r="BG11" i="35"/>
  <c r="BF11" i="35"/>
  <c r="BG12" i="35"/>
  <c r="BF12" i="35"/>
  <c r="BG13" i="35"/>
  <c r="BF13" i="35"/>
  <c r="BG14" i="35"/>
  <c r="BF14" i="35"/>
  <c r="X16" i="35"/>
  <c r="F16" i="35"/>
  <c r="BG24" i="35"/>
  <c r="BF24" i="35"/>
  <c r="BG25" i="35"/>
  <c r="BF25" i="35"/>
  <c r="BG26" i="35"/>
  <c r="BF26" i="35"/>
  <c r="BG27" i="35"/>
  <c r="BF27" i="35"/>
  <c r="BG28" i="35"/>
  <c r="BF28" i="35"/>
  <c r="BG29" i="35"/>
  <c r="BF29" i="35"/>
  <c r="BG30" i="35"/>
  <c r="BF30" i="35"/>
  <c r="BG31" i="35"/>
  <c r="BF31" i="35"/>
  <c r="BG32" i="35"/>
  <c r="BF32" i="35"/>
  <c r="BG33" i="35"/>
  <c r="BF33" i="35"/>
  <c r="X35" i="35"/>
  <c r="F35" i="35"/>
  <c r="BG37" i="35"/>
  <c r="BF37" i="35"/>
  <c r="BG38" i="35"/>
  <c r="BF38" i="35"/>
  <c r="X40" i="35"/>
  <c r="F40" i="35"/>
  <c r="BH17" i="36"/>
  <c r="BH19" i="36" s="1"/>
  <c r="AK20" i="38"/>
  <c r="AK35" i="37"/>
  <c r="AK32" i="36"/>
  <c r="AK19" i="36"/>
  <c r="AK27" i="40" s="1"/>
  <c r="BH27" i="40" s="1"/>
  <c r="BG17" i="36"/>
  <c r="BG19" i="36" s="1"/>
  <c r="X20" i="38"/>
  <c r="X35" i="37"/>
  <c r="X32" i="36"/>
  <c r="X19" i="36"/>
  <c r="X27" i="40" s="1"/>
  <c r="BG27" i="40" s="1"/>
  <c r="BF30" i="36"/>
  <c r="BF13" i="40"/>
  <c r="BF17" i="36"/>
  <c r="BF19" i="36" s="1"/>
  <c r="E20" i="38"/>
  <c r="E35" i="37"/>
  <c r="BF35" i="37" s="1"/>
  <c r="E32" i="36"/>
  <c r="E19" i="36"/>
  <c r="E27" i="40" s="1"/>
  <c r="BF27" i="40" s="1"/>
  <c r="BH30" i="36"/>
  <c r="AK13" i="40"/>
  <c r="BH13" i="40" s="1"/>
  <c r="BG30" i="36"/>
  <c r="X13" i="40"/>
  <c r="BG13" i="40" s="1"/>
  <c r="AK20" i="37"/>
  <c r="AK31" i="40" s="1"/>
  <c r="BH31" i="40" s="1"/>
  <c r="BH18" i="37"/>
  <c r="BH20" i="37" s="1"/>
  <c r="E20" i="37"/>
  <c r="E31" i="40" s="1"/>
  <c r="BF18" i="37"/>
  <c r="BF20" i="37" s="1"/>
  <c r="BG18" i="37"/>
  <c r="BG20" i="37" s="1"/>
  <c r="X20" i="37"/>
  <c r="X31" i="40" s="1"/>
  <c r="BG31" i="40" s="1"/>
  <c r="BF33" i="37"/>
  <c r="E37" i="37"/>
  <c r="E33" i="40" s="1"/>
  <c r="BF33" i="40" s="1"/>
  <c r="BG33" i="37"/>
  <c r="BG40" i="38"/>
  <c r="BG42" i="38" s="1"/>
  <c r="X42" i="38"/>
  <c r="X39" i="40" s="1"/>
  <c r="BG39" i="40" s="1"/>
  <c r="BH40" i="38"/>
  <c r="BH42" i="38" s="1"/>
  <c r="AK42" i="38"/>
  <c r="AK39" i="40" s="1"/>
  <c r="BH39" i="40" s="1"/>
  <c r="BF40" i="38"/>
  <c r="BF42" i="38" s="1"/>
  <c r="E42" i="38"/>
  <c r="E39" i="40" s="1"/>
  <c r="BF39" i="40" s="1"/>
  <c r="AI22" i="38" l="1"/>
  <c r="AI37" i="40" s="1"/>
  <c r="BA18" i="35"/>
  <c r="BA17" i="40" s="1"/>
  <c r="BF31" i="40"/>
  <c r="D30" i="43"/>
  <c r="D26" i="43"/>
  <c r="D38" i="43"/>
  <c r="D32" i="43"/>
  <c r="I18" i="35"/>
  <c r="I17" i="40" s="1"/>
  <c r="D40" i="43"/>
  <c r="D18" i="43"/>
  <c r="AS18" i="35"/>
  <c r="AS17" i="40" s="1"/>
  <c r="BH16" i="35"/>
  <c r="BH17" i="40"/>
  <c r="AC18" i="35"/>
  <c r="AC17" i="40" s="1"/>
  <c r="U18" i="35"/>
  <c r="U17" i="40" s="1"/>
  <c r="M18" i="35"/>
  <c r="M17" i="40" s="1"/>
  <c r="BF40" i="35"/>
  <c r="F42" i="35"/>
  <c r="F24" i="40" s="1"/>
  <c r="BF24" i="40" s="1"/>
  <c r="F22" i="40"/>
  <c r="BF22" i="40" s="1"/>
  <c r="BF35" i="35"/>
  <c r="F18" i="38"/>
  <c r="BF16" i="35"/>
  <c r="F10" i="39"/>
  <c r="F18" i="35"/>
  <c r="F17" i="40" s="1"/>
  <c r="BH9" i="35"/>
  <c r="AK15" i="40"/>
  <c r="BH15" i="40" s="1"/>
  <c r="BH40" i="35"/>
  <c r="AK42" i="35"/>
  <c r="AK24" i="40" s="1"/>
  <c r="BH24" i="40" s="1"/>
  <c r="BG9" i="35"/>
  <c r="X15" i="40"/>
  <c r="BG15" i="40" s="1"/>
  <c r="BH10" i="39"/>
  <c r="BH12" i="39" s="1"/>
  <c r="AK12" i="39"/>
  <c r="AK41" i="40" s="1"/>
  <c r="BH41" i="40" s="1"/>
  <c r="BF9" i="35"/>
  <c r="F15" i="40"/>
  <c r="BF15" i="40" s="1"/>
  <c r="BG40" i="35"/>
  <c r="X42" i="35"/>
  <c r="X24" i="40" s="1"/>
  <c r="BG24" i="40" s="1"/>
  <c r="BG35" i="35"/>
  <c r="X22" i="40"/>
  <c r="X18" i="38"/>
  <c r="BG18" i="38" s="1"/>
  <c r="X10" i="39"/>
  <c r="BG16" i="35"/>
  <c r="BG18" i="35" s="1"/>
  <c r="X18" i="35"/>
  <c r="X17" i="40" s="1"/>
  <c r="BG17" i="40" s="1"/>
  <c r="AK22" i="40"/>
  <c r="BH22" i="40" s="1"/>
  <c r="BH35" i="35"/>
  <c r="AK18" i="38"/>
  <c r="BH18" i="38" s="1"/>
  <c r="BG22" i="40"/>
  <c r="BF37" i="37"/>
  <c r="BF32" i="36"/>
  <c r="BF34" i="36" s="1"/>
  <c r="E34" i="36"/>
  <c r="E29" i="40" s="1"/>
  <c r="BF20" i="38"/>
  <c r="E22" i="38"/>
  <c r="E37" i="40" s="1"/>
  <c r="BG35" i="37"/>
  <c r="BG37" i="37" s="1"/>
  <c r="X37" i="37"/>
  <c r="X33" i="40" s="1"/>
  <c r="BG33" i="40" s="1"/>
  <c r="BH32" i="36"/>
  <c r="BH34" i="36" s="1"/>
  <c r="AK34" i="36"/>
  <c r="AK29" i="40" s="1"/>
  <c r="BH29" i="40" s="1"/>
  <c r="BH20" i="38"/>
  <c r="AK22" i="38"/>
  <c r="AK37" i="40" s="1"/>
  <c r="BH37" i="40" s="1"/>
  <c r="BG32" i="36"/>
  <c r="BG34" i="36" s="1"/>
  <c r="X34" i="36"/>
  <c r="X29" i="40" s="1"/>
  <c r="BG29" i="40" s="1"/>
  <c r="BG20" i="38"/>
  <c r="AK37" i="37"/>
  <c r="AK33" i="40" s="1"/>
  <c r="BH33" i="40" s="1"/>
  <c r="BH35" i="37"/>
  <c r="BH37" i="37" s="1"/>
  <c r="C55" i="13"/>
  <c r="BF17" i="40" l="1"/>
  <c r="BF29" i="40"/>
  <c r="D28" i="43"/>
  <c r="BH18" i="35"/>
  <c r="BG22" i="38"/>
  <c r="X22" i="38"/>
  <c r="X37" i="40" s="1"/>
  <c r="BG37" i="40" s="1"/>
  <c r="BG42" i="35"/>
  <c r="BH42" i="35"/>
  <c r="D24" i="43"/>
  <c r="D22" i="43"/>
  <c r="BF18" i="38"/>
  <c r="F22" i="38"/>
  <c r="F37" i="40" s="1"/>
  <c r="BF42" i="35"/>
  <c r="BH22" i="38"/>
  <c r="F12" i="39"/>
  <c r="F41" i="40" s="1"/>
  <c r="BF41" i="40" s="1"/>
  <c r="BF10" i="39"/>
  <c r="BF12" i="39" s="1"/>
  <c r="BF22" i="38"/>
  <c r="X12" i="39"/>
  <c r="X41" i="40" s="1"/>
  <c r="BG41" i="40" s="1"/>
  <c r="BG10" i="39"/>
  <c r="BG12" i="39" s="1"/>
  <c r="BF18"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6" i="38" s="1"/>
  <c r="BF40" i="42"/>
  <c r="D37" i="38" s="1"/>
  <c r="BF41" i="42"/>
  <c r="D38" i="38" s="1"/>
  <c r="BF42" i="42"/>
  <c r="D28" i="38" s="1"/>
  <c r="BF43" i="42"/>
  <c r="D29" i="38" s="1"/>
  <c r="BF44" i="42"/>
  <c r="D30" i="38" s="1"/>
  <c r="BF45" i="42"/>
  <c r="D31" i="38" s="1"/>
  <c r="BF46" i="42"/>
  <c r="D32" i="38" s="1"/>
  <c r="BF47" i="42"/>
  <c r="D33" i="35" s="1"/>
  <c r="BF48" i="42"/>
  <c r="D27" i="35" s="1"/>
  <c r="BF49" i="42"/>
  <c r="BF50" i="42"/>
  <c r="D14" i="35" s="1"/>
  <c r="BF51" i="42"/>
  <c r="D12" i="36" s="1"/>
  <c r="BF52" i="42"/>
  <c r="D32" i="35" s="1"/>
  <c r="BF53" i="42"/>
  <c r="D15" i="36" s="1"/>
  <c r="BF54" i="42"/>
  <c r="D13" i="36" s="1"/>
  <c r="BF55" i="42"/>
  <c r="D24"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8" i="37" s="1"/>
  <c r="BF22" i="42"/>
  <c r="D27" i="38" s="1"/>
  <c r="BF23" i="42"/>
  <c r="D6" i="36" s="1"/>
  <c r="BF24" i="42"/>
  <c r="D12" i="37" s="1"/>
  <c r="BF25" i="42"/>
  <c r="D26" i="35" s="1"/>
  <c r="BF26" i="42"/>
  <c r="D13" i="37" s="1"/>
  <c r="BF27" i="42"/>
  <c r="BF28" i="42"/>
  <c r="BF29" i="42"/>
  <c r="D14" i="37" s="1"/>
  <c r="BF30" i="42"/>
  <c r="D15" i="37" s="1"/>
  <c r="BF31" i="42"/>
  <c r="D16" i="37" s="1"/>
  <c r="BF32" i="42"/>
  <c r="D31" i="35" s="1"/>
  <c r="BF33" i="42"/>
  <c r="BF34" i="42"/>
  <c r="BF35" i="42"/>
  <c r="BI18" i="42"/>
  <c r="BH18" i="42"/>
  <c r="BG18" i="42"/>
  <c r="BF18" i="42"/>
  <c r="D8" i="37" s="1"/>
  <c r="BI9" i="42"/>
  <c r="BH9" i="42"/>
  <c r="BG9" i="42"/>
  <c r="BF9" i="42"/>
  <c r="D6" i="38" s="1"/>
  <c r="D13" i="35" l="1"/>
  <c r="BF37" i="40"/>
  <c r="D36" i="43"/>
  <c r="D30" i="37"/>
  <c r="D29" i="35"/>
  <c r="D27" i="37"/>
  <c r="D12" i="35"/>
  <c r="D11" i="35"/>
  <c r="D31" i="37"/>
  <c r="D30" i="35"/>
  <c r="D26" i="37"/>
  <c r="D25" i="35"/>
  <c r="D14" i="36"/>
  <c r="D7" i="36"/>
  <c r="D28" i="35"/>
  <c r="D29" i="37"/>
  <c r="D11" i="37"/>
  <c r="D6" i="35"/>
  <c r="BI62" i="42"/>
  <c r="BH62" i="42"/>
  <c r="BG62" i="42"/>
  <c r="BF62" i="42"/>
  <c r="D38" i="35" s="1"/>
  <c r="BI59" i="42"/>
  <c r="BH59" i="42"/>
  <c r="BG59" i="42"/>
  <c r="BF59" i="42"/>
  <c r="BI38" i="42"/>
  <c r="BH38" i="42"/>
  <c r="BG38" i="42"/>
  <c r="BF38" i="42"/>
  <c r="D11" i="36" s="1"/>
  <c r="BI20" i="42"/>
  <c r="BH20" i="42"/>
  <c r="BG20" i="42"/>
  <c r="BF20" i="42"/>
  <c r="D10" i="37" s="1"/>
  <c r="BI19" i="42"/>
  <c r="BH19" i="42"/>
  <c r="BG19" i="42"/>
  <c r="BF19" i="42"/>
  <c r="D9" i="37" s="1"/>
  <c r="BI15" i="42"/>
  <c r="BH15" i="42"/>
  <c r="BG15" i="42"/>
  <c r="BF15" i="42"/>
  <c r="D6" i="39" s="1"/>
  <c r="BI14" i="42"/>
  <c r="BH14" i="42"/>
  <c r="BG14" i="42"/>
  <c r="BF14" i="42"/>
  <c r="BI13" i="42"/>
  <c r="BH13" i="42"/>
  <c r="BG13" i="42"/>
  <c r="BF13" i="42"/>
  <c r="D28" i="36" s="1"/>
  <c r="BI12" i="42"/>
  <c r="BH12" i="42"/>
  <c r="BG12" i="42"/>
  <c r="BF12" i="42"/>
  <c r="D27" i="36" s="1"/>
  <c r="BI11" i="42"/>
  <c r="BH11" i="42"/>
  <c r="BG11" i="42"/>
  <c r="BF11" i="42"/>
  <c r="D26" i="36" s="1"/>
  <c r="BI10" i="42"/>
  <c r="BH10" i="42"/>
  <c r="BG10" i="42"/>
  <c r="BF10" i="42"/>
  <c r="D25"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6" i="37" l="1"/>
  <c r="D37" i="35"/>
  <c r="D7" i="38"/>
  <c r="D7" i="35"/>
  <c r="BF3" i="42"/>
  <c r="D11"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40" i="38"/>
  <c r="D9" i="38"/>
  <c r="D13" i="38" s="1"/>
  <c r="D35" i="40" s="1"/>
  <c r="D33" i="37"/>
  <c r="D17" i="36"/>
  <c r="D9" i="36"/>
  <c r="D40" i="35"/>
  <c r="D35" i="35"/>
  <c r="D18" i="38" s="1"/>
  <c r="D16" i="35"/>
  <c r="D10" i="39" s="1"/>
  <c r="D9" i="35"/>
  <c r="D15" i="40" s="1"/>
  <c r="D20" i="38" l="1"/>
  <c r="D35" i="37"/>
  <c r="D37" i="37" s="1"/>
  <c r="D33" i="40" s="1"/>
  <c r="D42" i="35"/>
  <c r="D24" i="40" s="1"/>
  <c r="D12" i="39"/>
  <c r="D41" i="40" s="1"/>
  <c r="D18" i="35"/>
  <c r="D17" i="40" s="1"/>
  <c r="D22" i="40"/>
  <c r="D22" i="38"/>
  <c r="D37" i="40" s="1"/>
  <c r="D30" i="36"/>
  <c r="D13" i="40" s="1"/>
  <c r="D18" i="37"/>
  <c r="D20" i="37" s="1"/>
  <c r="D31" i="40" s="1"/>
  <c r="D34" i="38"/>
  <c r="D42" i="38" s="1"/>
  <c r="D39" i="40" s="1"/>
  <c r="D32" i="36"/>
  <c r="D19" i="36"/>
  <c r="D27" i="40" s="1"/>
  <c r="D34"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8"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6" i="53" s="1"/>
  <c r="E91"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K218" i="24" s="1"/>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BK217"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4" i="38"/>
  <c r="E11" i="38" s="1"/>
  <c r="E4" i="37"/>
  <c r="E4" i="36"/>
  <c r="E4" i="35"/>
  <c r="G9" i="40"/>
  <c r="G4" i="39"/>
  <c r="G4" i="38"/>
  <c r="G11" i="38" s="1"/>
  <c r="G13" i="38" s="1"/>
  <c r="G35" i="40" s="1"/>
  <c r="G4" i="37"/>
  <c r="G4" i="36"/>
  <c r="G4" i="35"/>
  <c r="I9" i="40"/>
  <c r="I4" i="39"/>
  <c r="I4" i="38"/>
  <c r="I11" i="38" s="1"/>
  <c r="I13" i="38" s="1"/>
  <c r="I35" i="40" s="1"/>
  <c r="I4" i="37"/>
  <c r="I4" i="36"/>
  <c r="I4" i="35"/>
  <c r="K9" i="40"/>
  <c r="K4" i="39"/>
  <c r="K4" i="38"/>
  <c r="K11" i="38" s="1"/>
  <c r="K13" i="38" s="1"/>
  <c r="K35" i="40" s="1"/>
  <c r="K4" i="37"/>
  <c r="K4" i="36"/>
  <c r="K4" i="35"/>
  <c r="M9" i="40"/>
  <c r="M4" i="39"/>
  <c r="M4" i="38"/>
  <c r="M11" i="38" s="1"/>
  <c r="M13" i="38" s="1"/>
  <c r="M35" i="40" s="1"/>
  <c r="M4" i="37"/>
  <c r="M4" i="36"/>
  <c r="M4" i="35"/>
  <c r="O9" i="40"/>
  <c r="O4" i="39"/>
  <c r="O4" i="38"/>
  <c r="O11" i="38" s="1"/>
  <c r="O13" i="38" s="1"/>
  <c r="O35" i="40" s="1"/>
  <c r="O4" i="37"/>
  <c r="O4" i="36"/>
  <c r="O4" i="35"/>
  <c r="Q9" i="40"/>
  <c r="Q4" i="39"/>
  <c r="Q4" i="38"/>
  <c r="Q11" i="38" s="1"/>
  <c r="Q13" i="38" s="1"/>
  <c r="Q35" i="40" s="1"/>
  <c r="Q4" i="37"/>
  <c r="Q4" i="36"/>
  <c r="Q4" i="35"/>
  <c r="S9" i="40"/>
  <c r="S4" i="39"/>
  <c r="S4" i="38"/>
  <c r="S11" i="38" s="1"/>
  <c r="S13" i="38" s="1"/>
  <c r="S35" i="40" s="1"/>
  <c r="S4" i="37"/>
  <c r="S4" i="36"/>
  <c r="S4" i="35"/>
  <c r="U9" i="40"/>
  <c r="U4" i="39"/>
  <c r="U4" i="38"/>
  <c r="U11" i="38" s="1"/>
  <c r="U13" i="38" s="1"/>
  <c r="U35" i="40" s="1"/>
  <c r="U4" i="37"/>
  <c r="U4" i="36"/>
  <c r="U4" i="35"/>
  <c r="W9" i="40"/>
  <c r="W4" i="39"/>
  <c r="W4" i="38"/>
  <c r="W11" i="38" s="1"/>
  <c r="W13" i="38" s="1"/>
  <c r="W35" i="40" s="1"/>
  <c r="W4" i="37"/>
  <c r="W4" i="36"/>
  <c r="W4" i="35"/>
  <c r="Y9" i="40"/>
  <c r="Y4" i="39"/>
  <c r="Y4" i="38"/>
  <c r="Y11" i="38" s="1"/>
  <c r="Y13" i="38" s="1"/>
  <c r="Y35" i="40" s="1"/>
  <c r="Y4" i="37"/>
  <c r="Y4" i="36"/>
  <c r="Y4" i="35"/>
  <c r="AA9" i="40"/>
  <c r="AA4" i="39"/>
  <c r="AA4" i="38"/>
  <c r="AA11" i="38" s="1"/>
  <c r="AA13" i="38" s="1"/>
  <c r="AA35" i="40" s="1"/>
  <c r="AA4" i="37"/>
  <c r="AA4" i="36"/>
  <c r="AA4" i="35"/>
  <c r="AC9" i="40"/>
  <c r="AC4" i="39"/>
  <c r="AC4" i="38"/>
  <c r="AC11" i="38" s="1"/>
  <c r="AC13" i="38" s="1"/>
  <c r="AC35" i="40" s="1"/>
  <c r="AC4" i="37"/>
  <c r="AC4" i="36"/>
  <c r="AC4" i="35"/>
  <c r="AE9" i="40"/>
  <c r="AE4" i="39"/>
  <c r="AE4" i="38"/>
  <c r="AE11" i="38" s="1"/>
  <c r="AE13" i="38" s="1"/>
  <c r="AE35" i="40" s="1"/>
  <c r="AE4" i="37"/>
  <c r="AE4" i="36"/>
  <c r="AE4" i="35"/>
  <c r="AG9" i="40"/>
  <c r="AG4" i="39"/>
  <c r="AG4" i="38"/>
  <c r="AG11" i="38" s="1"/>
  <c r="AG13" i="38" s="1"/>
  <c r="AG35" i="40" s="1"/>
  <c r="AG4" i="37"/>
  <c r="AG4" i="36"/>
  <c r="AG4" i="35"/>
  <c r="AI9" i="40"/>
  <c r="AI4" i="39"/>
  <c r="AI4" i="38"/>
  <c r="AI11" i="38" s="1"/>
  <c r="AI13" i="38" s="1"/>
  <c r="AI35" i="40" s="1"/>
  <c r="AI4" i="37"/>
  <c r="AI4" i="36"/>
  <c r="AI4" i="35"/>
  <c r="AK9" i="40"/>
  <c r="AK4" i="39"/>
  <c r="AK4" i="38"/>
  <c r="AK11" i="38" s="1"/>
  <c r="AK4" i="37"/>
  <c r="AK4" i="36"/>
  <c r="AK4" i="35"/>
  <c r="AM9" i="40"/>
  <c r="AM4" i="39"/>
  <c r="AM4" i="38"/>
  <c r="AM11" i="38" s="1"/>
  <c r="AM13" i="38" s="1"/>
  <c r="AM35" i="40" s="1"/>
  <c r="AM4" i="37"/>
  <c r="AM4" i="36"/>
  <c r="AM4" i="35"/>
  <c r="AO9" i="40"/>
  <c r="AO4" i="39"/>
  <c r="AO4" i="38"/>
  <c r="AO11" i="38" s="1"/>
  <c r="AO13" i="38" s="1"/>
  <c r="AO35" i="40" s="1"/>
  <c r="AO4" i="37"/>
  <c r="AO4" i="36"/>
  <c r="AO4" i="35"/>
  <c r="AQ9" i="40"/>
  <c r="AQ4" i="39"/>
  <c r="AQ4" i="38"/>
  <c r="AQ11" i="38" s="1"/>
  <c r="AQ13" i="38" s="1"/>
  <c r="AQ35" i="40" s="1"/>
  <c r="AQ4" i="37"/>
  <c r="AQ4" i="36"/>
  <c r="AQ4" i="35"/>
  <c r="AS9" i="40"/>
  <c r="AS4" i="39"/>
  <c r="AS4" i="38"/>
  <c r="AS11" i="38" s="1"/>
  <c r="AS13" i="38" s="1"/>
  <c r="AS35" i="40" s="1"/>
  <c r="AS4" i="37"/>
  <c r="AS4" i="36"/>
  <c r="AS4" i="35"/>
  <c r="AU9" i="40"/>
  <c r="AU4" i="39"/>
  <c r="AU4" i="38"/>
  <c r="AU11" i="38" s="1"/>
  <c r="AU13" i="38" s="1"/>
  <c r="AU35" i="40" s="1"/>
  <c r="AU4" i="37"/>
  <c r="AU4" i="36"/>
  <c r="AU4" i="35"/>
  <c r="AW9" i="40"/>
  <c r="AW4" i="39"/>
  <c r="AW4" i="38"/>
  <c r="AW11" i="38" s="1"/>
  <c r="AW13" i="38" s="1"/>
  <c r="AW35" i="40" s="1"/>
  <c r="AW4" i="37"/>
  <c r="AW4" i="36"/>
  <c r="AW4" i="35"/>
  <c r="AY9" i="40"/>
  <c r="AY4" i="39"/>
  <c r="AY4" i="38"/>
  <c r="AY11" i="38" s="1"/>
  <c r="AY13" i="38" s="1"/>
  <c r="AY35" i="40" s="1"/>
  <c r="AY4" i="37"/>
  <c r="AY4" i="36"/>
  <c r="AY4" i="35"/>
  <c r="BA9" i="40"/>
  <c r="BA4" i="39"/>
  <c r="BA4" i="38"/>
  <c r="BA11" i="38" s="1"/>
  <c r="BA13" i="38" s="1"/>
  <c r="BA35" i="40" s="1"/>
  <c r="BA4" i="37"/>
  <c r="BA4" i="36"/>
  <c r="BA4" i="35"/>
  <c r="BC9" i="40"/>
  <c r="BC4" i="39"/>
  <c r="BC4" i="38"/>
  <c r="BC11" i="38" s="1"/>
  <c r="BC13" i="38" s="1"/>
  <c r="BC35" i="40" s="1"/>
  <c r="BC4" i="37"/>
  <c r="BC4" i="36"/>
  <c r="BC4" i="35"/>
  <c r="BE9" i="40"/>
  <c r="BE4" i="39"/>
  <c r="BE4" i="38"/>
  <c r="BE11" i="38" s="1"/>
  <c r="BE13" i="38" s="1"/>
  <c r="BE35" i="40" s="1"/>
  <c r="BE4" i="37"/>
  <c r="BE4" i="36"/>
  <c r="BE4" i="35"/>
  <c r="F9" i="40"/>
  <c r="F4" i="39"/>
  <c r="F4" i="38"/>
  <c r="F11" i="38" s="1"/>
  <c r="F13" i="38" s="1"/>
  <c r="F35" i="40" s="1"/>
  <c r="F4" i="37"/>
  <c r="F4" i="36"/>
  <c r="F4" i="35"/>
  <c r="H9" i="40"/>
  <c r="H4" i="39"/>
  <c r="H4" i="38"/>
  <c r="H11" i="38" s="1"/>
  <c r="H13" i="38" s="1"/>
  <c r="H35" i="40" s="1"/>
  <c r="H4" i="37"/>
  <c r="H4" i="36"/>
  <c r="H4" i="35"/>
  <c r="J4" i="37"/>
  <c r="J4" i="36"/>
  <c r="J9" i="40"/>
  <c r="J4" i="39"/>
  <c r="J4" i="38"/>
  <c r="J11" i="38" s="1"/>
  <c r="J13" i="38" s="1"/>
  <c r="J35" i="40" s="1"/>
  <c r="J4" i="35"/>
  <c r="L9" i="40"/>
  <c r="L4" i="39"/>
  <c r="L4" i="38"/>
  <c r="L11" i="38" s="1"/>
  <c r="L13" i="38" s="1"/>
  <c r="L35" i="40" s="1"/>
  <c r="L4" i="37"/>
  <c r="L4" i="36"/>
  <c r="L4" i="35"/>
  <c r="N9" i="40"/>
  <c r="N4" i="39"/>
  <c r="N4" i="38"/>
  <c r="N11" i="38" s="1"/>
  <c r="N13" i="38" s="1"/>
  <c r="N35" i="40" s="1"/>
  <c r="N4" i="37"/>
  <c r="N4" i="36"/>
  <c r="N4" i="35"/>
  <c r="P9" i="40"/>
  <c r="P4" i="39"/>
  <c r="P4" i="38"/>
  <c r="P11" i="38" s="1"/>
  <c r="P13" i="38" s="1"/>
  <c r="P35" i="40" s="1"/>
  <c r="P4" i="37"/>
  <c r="P4" i="36"/>
  <c r="P4" i="35"/>
  <c r="R4" i="37"/>
  <c r="R4" i="36"/>
  <c r="R9" i="40"/>
  <c r="R4" i="39"/>
  <c r="R4" i="38"/>
  <c r="R11" i="38" s="1"/>
  <c r="R13" i="38" s="1"/>
  <c r="R35" i="40" s="1"/>
  <c r="R4" i="35"/>
  <c r="T9" i="40"/>
  <c r="T4" i="39"/>
  <c r="T4" i="38"/>
  <c r="T11" i="38" s="1"/>
  <c r="T13" i="38" s="1"/>
  <c r="T35" i="40" s="1"/>
  <c r="T4" i="37"/>
  <c r="T4" i="36"/>
  <c r="T4" i="35"/>
  <c r="V9" i="40"/>
  <c r="V4" i="39"/>
  <c r="V4" i="38"/>
  <c r="V11" i="38" s="1"/>
  <c r="V13" i="38" s="1"/>
  <c r="V35" i="40" s="1"/>
  <c r="V4" i="37"/>
  <c r="V4" i="36"/>
  <c r="V4" i="35"/>
  <c r="X9" i="40"/>
  <c r="X4" i="39"/>
  <c r="X4" i="38"/>
  <c r="X11" i="38" s="1"/>
  <c r="X4" i="37"/>
  <c r="X4" i="36"/>
  <c r="X4" i="35"/>
  <c r="Z4" i="37"/>
  <c r="Z4" i="36"/>
  <c r="Z9" i="40"/>
  <c r="Z4" i="39"/>
  <c r="Z4" i="38"/>
  <c r="Z11" i="38" s="1"/>
  <c r="Z13" i="38" s="1"/>
  <c r="Z35" i="40" s="1"/>
  <c r="Z4" i="35"/>
  <c r="AB9" i="40"/>
  <c r="AB4" i="39"/>
  <c r="AB4" i="38"/>
  <c r="AB11" i="38" s="1"/>
  <c r="AB13" i="38" s="1"/>
  <c r="AB35" i="40" s="1"/>
  <c r="AB4" i="37"/>
  <c r="AB4" i="36"/>
  <c r="AB4" i="35"/>
  <c r="AD9" i="40"/>
  <c r="AD4" i="39"/>
  <c r="AD4" i="38"/>
  <c r="AD11" i="38" s="1"/>
  <c r="AD13" i="38" s="1"/>
  <c r="AD35" i="40" s="1"/>
  <c r="AD4" i="37"/>
  <c r="AD4" i="36"/>
  <c r="AD4" i="35"/>
  <c r="AF9" i="40"/>
  <c r="AF4" i="39"/>
  <c r="AF4" i="38"/>
  <c r="AF11" i="38" s="1"/>
  <c r="AF13" i="38" s="1"/>
  <c r="AF35" i="40" s="1"/>
  <c r="AF4" i="37"/>
  <c r="AF4" i="36"/>
  <c r="AF4" i="35"/>
  <c r="AH4" i="37"/>
  <c r="AH4" i="36"/>
  <c r="AH9" i="40"/>
  <c r="AH4" i="39"/>
  <c r="AH4" i="38"/>
  <c r="AH11" i="38" s="1"/>
  <c r="AH13" i="38" s="1"/>
  <c r="AH35" i="40" s="1"/>
  <c r="AH4" i="35"/>
  <c r="AJ9" i="40"/>
  <c r="AJ4" i="39"/>
  <c r="AJ4" i="38"/>
  <c r="AJ11" i="38" s="1"/>
  <c r="AJ13" i="38" s="1"/>
  <c r="AJ35" i="40" s="1"/>
  <c r="AJ4" i="37"/>
  <c r="AJ4" i="36"/>
  <c r="AJ4" i="35"/>
  <c r="AL9" i="40"/>
  <c r="AL4" i="39"/>
  <c r="AL4" i="38"/>
  <c r="AL11" i="38" s="1"/>
  <c r="AL13" i="38" s="1"/>
  <c r="AL35" i="40" s="1"/>
  <c r="AL4" i="37"/>
  <c r="AL4" i="36"/>
  <c r="AL4" i="35"/>
  <c r="AN9" i="40"/>
  <c r="AN4" i="39"/>
  <c r="AN4" i="38"/>
  <c r="AN11" i="38" s="1"/>
  <c r="AN13" i="38" s="1"/>
  <c r="AN35" i="40" s="1"/>
  <c r="AN4" i="37"/>
  <c r="AN4" i="36"/>
  <c r="AN4" i="35"/>
  <c r="AP4" i="37"/>
  <c r="AP9" i="40"/>
  <c r="AP4" i="39"/>
  <c r="AP4" i="38"/>
  <c r="AP11" i="38" s="1"/>
  <c r="AP13" i="38" s="1"/>
  <c r="AP35" i="40" s="1"/>
  <c r="AP4" i="36"/>
  <c r="AP4" i="35"/>
  <c r="AR9" i="40"/>
  <c r="AR4" i="39"/>
  <c r="AR4" i="38"/>
  <c r="AR11" i="38" s="1"/>
  <c r="AR13" i="38" s="1"/>
  <c r="AR35" i="40" s="1"/>
  <c r="AR4" i="37"/>
  <c r="AR4" i="36"/>
  <c r="AR4" i="35"/>
  <c r="AT9" i="40"/>
  <c r="AT4" i="39"/>
  <c r="AT4" i="38"/>
  <c r="AT11" i="38" s="1"/>
  <c r="AT13" i="38" s="1"/>
  <c r="AT35" i="40" s="1"/>
  <c r="AT4" i="37"/>
  <c r="AT4" i="36"/>
  <c r="AT4" i="35"/>
  <c r="AV9" i="40"/>
  <c r="AV4" i="39"/>
  <c r="AV4" i="38"/>
  <c r="AV11" i="38" s="1"/>
  <c r="AV13" i="38" s="1"/>
  <c r="AV35" i="40" s="1"/>
  <c r="AV4" i="37"/>
  <c r="AV4" i="36"/>
  <c r="AV4" i="35"/>
  <c r="AX4" i="37"/>
  <c r="AX9" i="40"/>
  <c r="AX4" i="39"/>
  <c r="AX4" i="38"/>
  <c r="AX11" i="38" s="1"/>
  <c r="AX13" i="38" s="1"/>
  <c r="AX35" i="40" s="1"/>
  <c r="AX4" i="36"/>
  <c r="AX4" i="35"/>
  <c r="AZ9" i="40"/>
  <c r="AZ4" i="39"/>
  <c r="AZ4" i="38"/>
  <c r="AZ11" i="38" s="1"/>
  <c r="AZ13" i="38" s="1"/>
  <c r="AZ35" i="40" s="1"/>
  <c r="AZ4" i="37"/>
  <c r="AZ4" i="36"/>
  <c r="AZ4" i="35"/>
  <c r="BB9" i="40"/>
  <c r="BB4" i="39"/>
  <c r="BB4" i="38"/>
  <c r="BB11" i="38" s="1"/>
  <c r="BB13" i="38" s="1"/>
  <c r="BB35" i="40" s="1"/>
  <c r="BB4" i="37"/>
  <c r="BB4" i="36"/>
  <c r="BB4" i="35"/>
  <c r="BD9" i="40"/>
  <c r="BD4" i="39"/>
  <c r="BD4" i="38"/>
  <c r="BD11" i="38" s="1"/>
  <c r="BD13" i="38" s="1"/>
  <c r="BD35" i="40" s="1"/>
  <c r="BD4" i="37"/>
  <c r="BD4" i="36"/>
  <c r="BD4"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9" i="49" l="1"/>
  <c r="E158" i="49"/>
  <c r="E147" i="49"/>
  <c r="E145" i="49"/>
  <c r="E151" i="49"/>
  <c r="E152" i="49"/>
  <c r="E136" i="49"/>
  <c r="E139" i="49"/>
  <c r="E141" i="49"/>
  <c r="E137" i="49"/>
  <c r="E142" i="49"/>
  <c r="E130" i="49"/>
  <c r="E129" i="49"/>
  <c r="E123" i="49"/>
  <c r="E113" i="49"/>
  <c r="E117" i="49"/>
  <c r="E114" i="49"/>
  <c r="E111" i="49"/>
  <c r="E115" i="49"/>
  <c r="E119" i="49"/>
  <c r="E106" i="49"/>
  <c r="E107" i="49"/>
  <c r="E105" i="49"/>
  <c r="E94" i="49"/>
  <c r="E93" i="49"/>
  <c r="E97" i="49"/>
  <c r="E101" i="49"/>
  <c r="E98" i="49"/>
  <c r="E100" i="49"/>
  <c r="E95" i="49"/>
  <c r="E99" i="49"/>
  <c r="E87" i="49"/>
  <c r="E89" i="49"/>
  <c r="E84" i="49"/>
  <c r="E81" i="49"/>
  <c r="E83" i="49"/>
  <c r="E71" i="49"/>
  <c r="E69" i="49"/>
  <c r="E73" i="49"/>
  <c r="E74" i="49"/>
  <c r="E76" i="49"/>
  <c r="E75" i="49"/>
  <c r="E61" i="49"/>
  <c r="E65" i="49"/>
  <c r="E63" i="49"/>
  <c r="E58" i="49"/>
  <c r="E57" i="49" s="1"/>
  <c r="E49" i="49"/>
  <c r="E55" i="49"/>
  <c r="E53" i="49"/>
  <c r="E51" i="49"/>
  <c r="E45" i="49"/>
  <c r="E37" i="49"/>
  <c r="E41" i="49"/>
  <c r="E39" i="49"/>
  <c r="E33" i="49"/>
  <c r="E25" i="49"/>
  <c r="E23" i="49"/>
  <c r="E21" i="49"/>
  <c r="E29" i="49"/>
  <c r="E27" i="49"/>
  <c r="E15" i="49"/>
  <c r="E13" i="49"/>
  <c r="E11" i="49"/>
  <c r="E17" i="49"/>
  <c r="E14" i="49"/>
  <c r="E148" i="49"/>
  <c r="E126" i="49"/>
  <c r="E122" i="49"/>
  <c r="E121" i="49" s="1"/>
  <c r="E112" i="49"/>
  <c r="E104" i="49"/>
  <c r="E82" i="49"/>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96" i="49"/>
  <c r="E116" i="49"/>
  <c r="E128" i="49"/>
  <c r="E138" i="49"/>
  <c r="E127" i="49"/>
  <c r="E133" i="49"/>
  <c r="E132" i="49" s="1"/>
  <c r="E140" i="49"/>
  <c r="E146" i="49"/>
  <c r="E150"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90" i="49"/>
  <c r="E64" i="49"/>
  <c r="E36" i="49"/>
  <c r="E40"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4" i="38"/>
  <c r="BG4" i="37"/>
  <c r="BG4" i="36"/>
  <c r="BG4" i="35"/>
  <c r="BF4" i="37"/>
  <c r="BF9" i="40"/>
  <c r="BF4" i="39"/>
  <c r="BF4" i="38"/>
  <c r="BF4" i="36"/>
  <c r="BF4" i="35"/>
  <c r="BH9" i="40"/>
  <c r="BH4" i="39"/>
  <c r="BH4" i="38"/>
  <c r="BH4" i="37"/>
  <c r="BH4" i="36"/>
  <c r="BH4" i="35"/>
  <c r="X13" i="38"/>
  <c r="X35" i="40" s="1"/>
  <c r="BG35" i="40" s="1"/>
  <c r="BG11" i="38"/>
  <c r="BG13" i="38" s="1"/>
  <c r="BH11" i="38"/>
  <c r="BH13" i="38" s="1"/>
  <c r="AK13" i="38"/>
  <c r="AK35" i="40" s="1"/>
  <c r="BH35" i="40" s="1"/>
  <c r="E13" i="38"/>
  <c r="E35" i="40" s="1"/>
  <c r="BF35" i="40" s="1"/>
  <c r="BF11" i="38"/>
  <c r="BF13"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7" i="49" l="1"/>
  <c r="E68" i="49"/>
  <c r="E103" i="49"/>
  <c r="E92" i="49"/>
  <c r="E80" i="49"/>
  <c r="E86" i="49"/>
  <c r="E170" i="23"/>
  <c r="E125" i="49"/>
  <c r="C67" i="25"/>
  <c r="D42" i="27"/>
  <c r="C42" i="25"/>
  <c r="E47" i="49"/>
  <c r="E144" i="49"/>
  <c r="E135" i="49"/>
  <c r="E60" i="49"/>
  <c r="E19" i="49"/>
  <c r="E9" i="49"/>
  <c r="E109" i="49"/>
  <c r="AX160" i="23"/>
  <c r="AX161" i="23" s="1"/>
  <c r="AH160" i="23"/>
  <c r="AH161" i="23" s="1"/>
  <c r="E35"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1"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8" i="49"/>
  <c r="E79"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<sst xmlns="http://schemas.openxmlformats.org/spreadsheetml/2006/main" count="5442" uniqueCount="871">
  <si>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</si>
  <si>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</si>
  <si>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</si>
  <si>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</si>
  <si>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</si>
  <si>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</si>
  <si>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</si>
  <si>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</si>
  <si>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</si>
  <si>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</si>
  <si>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</si>
  <si>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</si>
  <si>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</si>
  <si>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</si>
  <si>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</si>
  <si>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</si>
  <si>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</si>
  <si>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</si>
  <si>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</si>
  <si>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</si>
  <si>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</si>
  <si>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</si>
  <si>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</si>
  <si>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</si>
  <si>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</si>
  <si>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</si>
  <si>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</si>
  <si>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</si>
  <si>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</si>
  <si>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</si>
  <si>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</si>
  <si>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</si>
  <si>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</si>
  <si>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</si>
  <si>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</si>
  <si>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</si>
  <si>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</si>
  <si>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</si>
  <si>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</si>
  <si>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</si>
  <si>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</si>
  <si>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</si>
  <si>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</si>
  <si>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</si>
  <si>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</si>
  <si>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</si>
  <si>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</si>
  <si>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</si>
  <si>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</si>
  <si>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</si>
  <si>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</si>
  <si>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</si>
  <si>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</si>
  <si>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</si>
  <si>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</si>
  <si>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</si>
  <si>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</si>
  <si>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</si>
  <si>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</si>
  <si>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</si>
  <si>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</si>
  <si>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</si>
  <si>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</si>
  <si>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</si>
  <si>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</si>
  <si>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</si>
  <si>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</si>
  <si>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</si>
  <si>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</si>
  <si>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</si>
  <si>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</si>
  <si>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</si>
  <si>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</si>
  <si>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</si>
  <si>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</si>
  <si>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</si>
  <si>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</si>
  <si>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</si>
  <si>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</si>
  <si>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</si>
  <si>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</si>
  <si>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</si>
  <si>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</si>
  <si>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</si>
  <si>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</si>
  <si>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</si>
  <si>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</si>
  <si>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</si>
  <si>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</si>
  <si>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</si>
  <si>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</si>
  <si>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</si>
  <si>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</si>
  <si>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</si>
  <si>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</si>
  <si>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</si>
  <si>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</si>
  <si>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</si>
  <si>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</si>
  <si>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</si>
  <si>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</si>
  <si>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</si>
  <si>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</si>
  <si>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</si>
  <si>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</si>
  <si>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</si>
  <si>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</si>
  <si>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</si>
  <si>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</si>
  <si>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</si>
  <si>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</si>
  <si>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</si>
  <si>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</si>
  <si>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</si>
  <si>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</si>
  <si>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</si>
  <si>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</si>
  <si>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</si>
  <si>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</si>
  <si>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</si>
  <si>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</si>
  <si>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</si>
  <si>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</si>
  <si>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</si>
  <si>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</si>
  <si>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</si>
  <si>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</si>
  <si>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</si>
  <si>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</si>
  <si>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</si>
  <si>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</si>
  <si>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</si>
  <si>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</si>
  <si>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</si>
  <si>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</si>
  <si>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</si>
  <si>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</si>
  <si>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</si>
  <si>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</si>
  <si>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</si>
  <si>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</si>
  <si>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</si>
  <si>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</si>
  <si>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</si>
  <si>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</si>
  <si>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</si>
  <si>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</si>
  <si>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</si>
  <si>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</si>
  <si>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</si>
  <si>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</si>
  <si>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</si>
  <si>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</si>
  <si>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</si>
  <si>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</si>
  <si>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</si>
  <si>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</si>
  <si>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</si>
  <si>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</si>
  <si>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</si>
  <si>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</si>
  <si>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</si>
  <si>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</si>
  <si>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</si>
  <si>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</si>
  <si>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</si>
  <si>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</si>
  <si>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</si>
  <si>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</si>
  <si>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</si>
  <si>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</si>
  <si>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</si>
  <si>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</si>
  <si>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</si>
  <si>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</si>
  <si>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</si>
  <si>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</si>
  <si>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</si>
  <si>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</si>
  <si>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</si>
  <si>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</si>
  <si>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</si>
  <si>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</si>
  <si>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</si>
  <si>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</si>
  <si>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</si>
  <si>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</si>
  <si>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</si>
  <si>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</si>
  <si>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</si>
  <si>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</si>
  <si>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</si>
  <si>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</si>
  <si>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</si>
  <si>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</si>
  <si>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</si>
  <si>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</si>
  <si>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</si>
  <si>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</si>
  <si>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</si>
  <si>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</si>
  <si>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</si>
  <si>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</si>
  <si>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</si>
  <si>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</si>
  <si>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</si>
  <si>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</si>
  <si>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</si>
  <si>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</si>
  <si>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</si>
  <si>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</si>
  <si>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</si>
  <si>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</si>
  <si>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</si>
  <si>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</si>
  <si>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</si>
  <si>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</si>
  <si>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</si>
  <si>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</si>
  <si>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</si>
  <si>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</si>
  <si>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</si>
  <si>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</si>
  <si>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</si>
  <si>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</si>
  <si>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</si>
  <si>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</si>
  <si>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</si>
  <si>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</si>
  <si>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</si>
  <si>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</si>
  <si>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</si>
  <si>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</si>
  <si>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</si>
  <si>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</si>
  <si>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</si>
  <si>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</si>
  <si>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</si>
  <si>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</si>
  <si>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</si>
  <si>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</si>
  <si>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</si>
  <si>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</si>
  <si>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</si>
  <si>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</si>
  <si>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</si>
  <si>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</si>
  <si>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</si>
  <si>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</si>
  <si>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</si>
  <si>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</si>
  <si>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</si>
  <si>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</si>
  <si>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</si>
  <si>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</si>
  <si>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</si>
  <si>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</si>
  <si>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</si>
  <si>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</si>
  <si>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</si>
  <si>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</si>
  <si>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</si>
  <si>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</si>
  <si>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</si>
  <si>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</si>
  <si>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</si>
  <si>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</si>
  <si>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</si>
  <si>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</si>
  <si>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</si>
  <si>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</si>
  <si>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</si>
  <si>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</si>
  <si>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</si>
  <si>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</si>
  <si>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</si>
  <si>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</si>
  <si>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</si>
  <si>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</si>
  <si>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</si>
  <si>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</si>
  <si>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</si>
  <si>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</si>
  <si>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</si>
  <si>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</si>
  <si>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</si>
  <si>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</si>
  <si>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</si>
  <si>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</si>
  <si>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</si>
  <si>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</si>
  <si>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</si>
  <si>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</si>
  <si>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</si>
  <si>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</si>
  <si>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</si>
  <si>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</si>
  <si>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</si>
  <si>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</si>
  <si>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</si>
  <si>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</si>
  <si>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</si>
  <si>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</si>
  <si>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</si>
  <si>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</si>
  <si>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</si>
  <si>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</si>
  <si>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</si>
  <si>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</si>
  <si>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</si>
  <si>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</si>
  <si>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</si>
  <si>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</si>
  <si>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</si>
  <si>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</si>
  <si>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</si>
  <si>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</si>
  <si>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</si>
  <si>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</si>
  <si>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</si>
  <si>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</si>
  <si>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</si>
  <si>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</si>
  <si>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</si>
  <si>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</si>
  <si>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</si>
  <si>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</si>
  <si>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</si>
  <si>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</si>
  <si>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</si>
  <si>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</si>
  <si>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</si>
  <si>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</si>
  <si>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</si>
  <si>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</si>
  <si>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</si>
  <si>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</si>
  <si>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</si>
  <si>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</si>
  <si>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</si>
  <si>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</si>
  <si>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</si>
  <si>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</si>
  <si>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</si>
  <si>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</si>
  <si>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</si>
  <si>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</si>
  <si>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</si>
  <si>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</si>
  <si>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</si>
  <si>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</si>
  <si>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</si>
  <si>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</si>
  <si>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</si>
  <si>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</si>
  <si>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</si>
  <si>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</si>
  <si>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</si>
  <si>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</si>
  <si>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</si>
  <si>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</si>
  <si>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</si>
  <si>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</si>
  <si>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</si>
  <si>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</si>
  <si>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</si>
  <si>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</si>
  <si>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</si>
  <si>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</si>
  <si>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</si>
  <si>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</si>
  <si>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</si>
  <si>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</si>
  <si>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</si>
  <si>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</si>
  <si>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</si>
  <si>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</si>
  <si>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</si>
  <si>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</si>
  <si>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</si>
  <si>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</si>
  <si>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</si>
  <si>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</si>
  <si>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</si>
  <si>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</si>
  <si>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</si>
  <si>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</si>
  <si>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</si>
  <si>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</si>
  <si>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</si>
  <si>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</si>
  <si>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</si>
  <si>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</si>
  <si>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</si>
  <si>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</si>
  <si>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</si>
  <si>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</si>
  <si>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</si>
  <si>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</si>
  <si>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</si>
  <si>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</si>
  <si>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</si>
  <si>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</si>
  <si>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</si>
  <si>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</si>
  <si>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</si>
  <si>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</si>
  <si>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</si>
  <si>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</si>
  <si>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</si>
  <si>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</si>
  <si>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</si>
  <si>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</si>
  <si>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</si>
  <si>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</si>
  <si>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</si>
  <si>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</si>
  <si>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</si>
  <si>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</si>
  <si>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</si>
  <si>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</si>
  <si>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</si>
  <si>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</si>
  <si>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</si>
  <si>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</si>
  <si>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</si>
  <si>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</si>
  <si>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</si>
  <si>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</si>
  <si>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</si>
  <si>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</si>
  <si>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</si>
  <si>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</si>
  <si>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</si>
  <si>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</si>
  <si>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</si>
  <si>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</si>
  <si>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</si>
  <si>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</si>
  <si>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</si>
  <si>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</si>
  <si>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</si>
  <si>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</si>
  <si>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</si>
  <si>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</si>
  <si>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</si>
  <si>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</si>
  <si>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</si>
  <si>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</si>
  <si>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</si>
  <si>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</si>
  <si>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</si>
  <si>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</si>
  <si>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</si>
  <si>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</si>
  <si>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</si>
  <si>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</si>
  <si>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</si>
  <si>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</si>
  <si>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</si>
  <si>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</si>
  <si>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</si>
  <si>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</si>
  <si>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</si>
  <si>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</si>
  <si>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</si>
  <si>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</si>
  <si>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</si>
  <si>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</si>
  <si>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</si>
  <si>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</si>
  <si>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</si>
  <si>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</si>
  <si>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</si>
  <si>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</si>
  <si>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</si>
  <si>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</si>
  <si>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</si>
  <si>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</si>
  <si>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</si>
  <si>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</si>
  <si>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</si>
  <si>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</si>
  <si>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</si>
  <si>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</si>
  <si>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</si>
  <si>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</si>
  <si>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</si>
  <si>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</si>
  <si>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</si>
  <si>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</si>
  <si>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</si>
  <si>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</si>
  <si>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</si>
  <si>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</si>
  <si>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</si>
  <si>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</si>
  <si>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</si>
  <si>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</si>
  <si>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</si>
  <si>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</si>
  <si>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</si>
  <si>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</si>
  <si>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</si>
  <si>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</si>
  <si>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</si>
  <si>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</si>
  <si>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</si>
  <si>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</si>
  <si>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</si>
  <si>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</si>
  <si>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</si>
  <si>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</si>
  <si>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</si>
  <si>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</si>
  <si>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</si>
  <si>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</si>
  <si>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</si>
  <si>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</si>
  <si>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</si>
  <si>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</si>
  <si>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</si>
  <si>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</si>
  <si>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</si>
  <si>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</si>
  <si>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</si>
  <si>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</si>
  <si>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</si>
  <si>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</si>
  <si>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</si>
  <si>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</si>
  <si>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</si>
  <si>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</si>
  <si>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</si>
  <si>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</si>
  <si>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</si>
  <si>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</si>
  <si>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</si>
  <si>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</si>
  <si>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</si>
  <si>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</si>
  <si>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</si>
  <si>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</si>
  <si>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</si>
  <si>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</si>
  <si>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</si>
  <si>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</si>
  <si>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</si>
  <si>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</si>
  <si>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</si>
  <si>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</si>
  <si>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</si>
  <si>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</si>
  <si>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</si>
  <si>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</si>
  <si>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</si>
  <si>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</si>
  <si>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</si>
  <si>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</si>
  <si>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</si>
  <si>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</si>
  <si>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</si>
  <si>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</si>
  <si>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</si>
  <si>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</si>
  <si>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</si>
  <si>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</si>
  <si>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</si>
  <si>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</si>
  <si>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</si>
  <si>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</si>
  <si>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</si>
  <si>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</si>
  <si>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</si>
  <si>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</si>
  <si>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</si>
  <si>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</si>
  <si>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</si>
  <si>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</si>
  <si>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</si>
  <si>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</si>
  <si>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</si>
  <si>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</si>
  <si>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</si>
  <si>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</si>
  <si>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</si>
  <si>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</si>
  <si>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</si>
  <si>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</si>
  <si>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</si>
  <si>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</si>
  <si>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</si>
  <si>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</si>
  <si>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</si>
  <si>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</si>
  <si>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</si>
  <si>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</si>
  <si>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</si>
  <si>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</si>
  <si>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</si>
  <si>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</si>
  <si>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</si>
  <si>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</si>
  <si>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</si>
  <si>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</si>
  <si>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</si>
  <si>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</si>
  <si>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</si>
  <si>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</si>
  <si>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</si>
  <si>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</si>
  <si>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</si>
  <si>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</si>
  <si>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</si>
  <si>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</si>
  <si>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</si>
  <si>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</si>
  <si>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</si>
  <si>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</si>
  <si>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</si>
  <si>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</si>
  <si>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</si>
  <si>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</si>
  <si>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</si>
  <si>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</si>
  <si>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</si>
  <si>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</si>
  <si>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</si>
  <si>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</si>
  <si>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</si>
  <si>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</si>
  <si>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</si>
  <si>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</si>
  <si>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</si>
  <si>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</si>
  <si>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</si>
  <si>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</si>
  <si>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</si>
  <si>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</si>
  <si>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</si>
  <si>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</si>
  <si>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</si>
  <si>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</si>
  <si>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</si>
  <si>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</si>
  <si>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</si>
  <si>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</si>
  <si>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</si>
  <si>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</si>
  <si>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</si>
  <si>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</si>
  <si>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</si>
  <si>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</si>
  <si>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</si>
  <si>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</si>
  <si>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</si>
  <si>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</si>
  <si>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</si>
  <si>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</si>
  <si>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</si>
  <si>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</si>
  <si>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</si>
  <si>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</si>
  <si>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</si>
  <si>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</si>
  <si>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</si>
  <si>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</si>
  <si>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</si>
  <si>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</si>
  <si>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</si>
  <si>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</si>
  <si>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</si>
  <si>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</si>
  <si>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</si>
  <si>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</si>
  <si>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</si>
  <si>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</si>
  <si>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</si>
  <si>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</si>
  <si>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</si>
  <si>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</si>
  <si>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</si>
  <si>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</si>
  <si>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</si>
  <si>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</si>
  <si>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</si>
  <si>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</si>
  <si>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</si>
  <si>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</si>
  <si>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</si>
  <si>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</si>
  <si>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</si>
  <si>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</si>
  <si>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</si>
  <si>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</si>
  <si>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</si>
  <si>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</si>
  <si>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</si>
  <si>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</si>
  <si>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</si>
  <si>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</si>
  <si>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</si>
  <si>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</si>
  <si>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</si>
  <si>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</si>
  <si>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</si>
  <si>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</si>
  <si>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</si>
  <si>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</si>
  <si>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</si>
  <si>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</si>
  <si>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</si>
  <si>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</si>
  <si>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</si>
  <si>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</si>
  <si>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</si>
  <si>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</si>
  <si>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</si>
  <si>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</si>
  <si>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</si>
  <si>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</si>
  <si>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</si>
  <si>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</si>
  <si>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</si>
  <si>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</si>
  <si>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</si>
  <si>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</si>
  <si>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</si>
  <si>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</si>
  <si>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</si>
  <si>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</si>
  <si>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</si>
  <si>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</si>
  <si>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</si>
  <si>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</si>
  <si>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</si>
  <si>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</si>
  <si>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</si>
  <si>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</si>
  <si>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</si>
  <si>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</si>
  <si>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</si>
  <si>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</si>
  <si>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</si>
  <si>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</si>
  <si>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</si>
  <si>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</si>
  <si>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</si>
  <si>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</si>
  <si>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</si>
  <si>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</si>
  <si>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</si>
  <si>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</si>
  <si>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</si>
  <si>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</si>
  <si>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</si>
  <si>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</si>
  <si>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</si>
  <si>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</si>
  <si>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</si>
  <si>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</si>
  <si>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</si>
  <si>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</si>
  <si>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</si>
  <si>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</si>
  <si>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</si>
  <si>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</si>
  <si>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</si>
  <si>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</si>
  <si>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</si>
  <si>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</si>
  <si>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</si>
  <si>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</si>
  <si>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</si>
  <si>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</si>
  <si>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</si>
  <si>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</si>
  <si>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</si>
  <si>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</si>
  <si>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</si>
  <si>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</si>
  <si>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</si>
  <si>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</si>
  <si>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</si>
  <si>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</si>
  <si>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</si>
  <si>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</si>
  <si>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</si>
  <si>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</si>
  <si>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</si>
  <si>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</si>
  <si>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</si>
  <si>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</si>
  <si>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</si>
  <si>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</si>
  <si>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</si>
  <si>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</si>
  <si>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</si>
  <si>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</si>
  <si>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</si>
  <si>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</si>
  <si>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</si>
  <si>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</si>
  <si>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</si>
  <si>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</si>
  <si>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</si>
  <si>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</si>
  <si>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</si>
  <si>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</si>
  <si>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</si>
  <si>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</si>
  <si>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</si>
  <si>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</si>
  <si>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</si>
  <si>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</si>
  <si>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</si>
  <si>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</si>
  <si>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</si>
  <si>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</si>
  <si>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</si>
  <si>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</si>
  <si>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</si>
  <si>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</si>
  <si>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</si>
  <si>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</si>
  <si>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</si>
  <si>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</si>
  <si>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</si>
  <si>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</si>
  <si>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</si>
  <si>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</si>
  <si>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</si>
  <si>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</si>
  <si>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</si>
  <si>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</si>
  <si>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</si>
  <si>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</si>
  <si>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</si>
  <si>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</si>
  <si>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</si>
  <si>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</si>
  <si>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</si>
  <si>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</si>
  <si>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</si>
  <si>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</si>
  <si>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</si>
  <si>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</si>
  <si>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</si>
  <si>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</si>
  <si>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</si>
  <si>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</si>
  <si>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</si>
  <si>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</si>
  <si>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</si>
  <si>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</si>
  <si>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</si>
  <si>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</si>
  <si>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</si>
  <si>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</si>
  <si>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</si>
  <si>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</si>
  <si>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</si>
  <si>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</si>
  <si>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</si>
  <si>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</si>
  <si>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</si>
  <si>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</si>
  <si>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</si>
  <si>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</si>
  <si>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</si>
  <si>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Résultat du financement (autofinancement) par commune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</si>
</sst>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28">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819</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827</v>
      </c>
    </row>
    <row r="4" spans="1:3" ht="15" x14ac:dyDescent="0.25">
      <c r="A4" s="7" t="s">
        <v>198</v>
      </c>
    </row>
    <row r="6" spans="1:3" ht="15" x14ac:dyDescent="0.25">
      <c r="A6" s="100" t="s">
        <v>215</v>
      </c>
      <c r="B6" s="100" t="s">
        <v>200</v>
      </c>
      <c r="C6" s="100" t="s">
        <v>851</v>
      </c>
    </row>
    <row r="7" spans="1:3" x14ac:dyDescent="0.2">
      <c r="A7" s="101">
        <v>90</v>
      </c>
      <c r="B7" s="102" t="s">
        <v>775</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851</v>
      </c>
    </row>
    <row r="19" spans="1:3" x14ac:dyDescent="0.2">
      <c r="A19" s="101">
        <v>90</v>
      </c>
      <c r="B19" s="102" t="s">
        <v>775</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851</v>
      </c>
    </row>
    <row r="31" spans="1:3" x14ac:dyDescent="0.2">
      <c r="A31" s="101">
        <v>90</v>
      </c>
      <c r="B31" s="102" t="s">
        <v>775</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851</v>
      </c>
    </row>
    <row r="43" spans="1:3" x14ac:dyDescent="0.2">
      <c r="A43" s="101">
        <v>90</v>
      </c>
      <c r="B43" s="102" t="s">
        <v>775</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838</v>
      </c>
    </row>
    <row r="5" spans="1:3" ht="15" thickBot="1" x14ac:dyDescent="0.25">
      <c r="B5" s="208" t="s">
        <v>587</v>
      </c>
    </row>
    <row r="6" spans="1:3" ht="15.75" thickBot="1" x14ac:dyDescent="0.3">
      <c r="B6" s="96" t="s">
        <v>56</v>
      </c>
    </row>
    <row r="9" spans="1:3" ht="15" x14ac:dyDescent="0.25">
      <c r="A9" s="100" t="s">
        <v>215</v>
      </c>
      <c r="B9" s="100" t="s">
        <v>200</v>
      </c>
      <c r="C9" s="100" t="s">
        <v>851</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824</v>
      </c>
    </row>
    <row r="5" spans="1:3" ht="15" x14ac:dyDescent="0.25">
      <c r="A5" s="7" t="s">
        <v>198</v>
      </c>
    </row>
    <row r="6" spans="1:3" ht="15" x14ac:dyDescent="0.25">
      <c r="A6" s="7" t="s">
        <v>852</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852</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852</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852</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824</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853</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853</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853</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853</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tabSelected="1" workbookViewId="0">
      <selection activeCell="D34" sqref="D34"/>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870</v>
      </c>
    </row>
    <row r="5" spans="1:5" ht="15" thickBot="1" x14ac:dyDescent="0.25">
      <c r="B5" s="215" t="s">
        <v>587</v>
      </c>
      <c r="C5" s="215"/>
      <c r="D5" s="215"/>
    </row>
    <row r="6" spans="1:5" ht="15.75" thickBot="1" x14ac:dyDescent="0.3">
      <c r="B6" s="212" t="s">
        <v>56</v>
      </c>
      <c r="C6" s="213"/>
      <c r="D6" s="214"/>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BD45" sqref="BD45"/>
      <selection pane="topRight" activeCell="BD45" sqref="BD45"/>
      <selection pane="bottomLeft" activeCell="BD45" sqref="BD45"/>
      <selection pane="bottomRight" activeCell="BD45" sqref="BD45"/>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837</v>
      </c>
      <c r="B2" s="7"/>
    </row>
    <row r="3" spans="1:59" x14ac:dyDescent="0.2">
      <c r="A3" s="8" t="s">
        <v>780</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860</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BD45" sqref="BD45"/>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836</v>
      </c>
      <c r="B2" s="7"/>
    </row>
    <row r="4" spans="1:3" ht="15" thickBot="1" x14ac:dyDescent="0.25"/>
    <row r="5" spans="1:3" ht="15.75" thickBot="1" x14ac:dyDescent="0.3">
      <c r="B5" s="96" t="s">
        <v>49</v>
      </c>
    </row>
    <row r="7" spans="1:3" ht="15" x14ac:dyDescent="0.25">
      <c r="C7" s="33" t="s">
        <v>201</v>
      </c>
    </row>
    <row r="8" spans="1:3" ht="15" x14ac:dyDescent="0.25">
      <c r="A8" s="110">
        <v>0</v>
      </c>
      <c r="B8" s="89" t="s">
        <v>297</v>
      </c>
      <c r="C8" s="111">
        <f>C9-C10</f>
        <v>500225.83000000007</v>
      </c>
    </row>
    <row r="9" spans="1:3" ht="15" x14ac:dyDescent="0.25">
      <c r="A9" s="112"/>
      <c r="B9" s="8" t="s">
        <v>307</v>
      </c>
      <c r="C9" s="13">
        <f>HLOOKUP($B$5,'4.11 Comptes 2020 fonctionnelle'!$C$4:$BC$48,3,0)</f>
        <v>537138.42000000004</v>
      </c>
    </row>
    <row r="10" spans="1:3" ht="15" x14ac:dyDescent="0.25">
      <c r="A10" s="112"/>
      <c r="B10" s="8" t="s">
        <v>308</v>
      </c>
      <c r="C10" s="13">
        <f>HLOOKUP($B$5,'4.11 Comptes 2020 fonctionnelle'!$C$4:$BC$48,4,0)</f>
        <v>36912.589999999997</v>
      </c>
    </row>
    <row r="11" spans="1:3" ht="15" x14ac:dyDescent="0.25">
      <c r="A11" s="33"/>
      <c r="B11" s="7"/>
      <c r="C11" s="13"/>
    </row>
    <row r="12" spans="1:3" ht="15" x14ac:dyDescent="0.25">
      <c r="A12" s="110" t="s">
        <v>298</v>
      </c>
      <c r="B12" s="89" t="s">
        <v>299</v>
      </c>
      <c r="C12" s="111">
        <f>C13-C14</f>
        <v>1507.4899999999907</v>
      </c>
    </row>
    <row r="13" spans="1:3" ht="15" x14ac:dyDescent="0.25">
      <c r="A13" s="112"/>
      <c r="B13" s="8" t="s">
        <v>307</v>
      </c>
      <c r="C13" s="13">
        <f>HLOOKUP($B$5,'4.11 Comptes 2020 fonctionnelle'!$C$4:$BC$48,7,0)</f>
        <v>122101.4</v>
      </c>
    </row>
    <row r="14" spans="1:3" ht="15" x14ac:dyDescent="0.25">
      <c r="A14" s="112"/>
      <c r="B14" s="8" t="s">
        <v>308</v>
      </c>
      <c r="C14" s="13">
        <f>HLOOKUP($B$5,'4.11 Comptes 2020 fonctionnelle'!$C$4:$BC$48,8,0)</f>
        <v>120593.91</v>
      </c>
    </row>
    <row r="15" spans="1:3" ht="15" x14ac:dyDescent="0.25">
      <c r="A15" s="33"/>
      <c r="B15" s="7"/>
      <c r="C15" s="13"/>
    </row>
    <row r="16" spans="1:3" ht="15" x14ac:dyDescent="0.25">
      <c r="A16" s="113">
        <v>2</v>
      </c>
      <c r="B16" s="89" t="s">
        <v>300</v>
      </c>
      <c r="C16" s="111">
        <f>C17-C18</f>
        <v>2372113.71</v>
      </c>
    </row>
    <row r="17" spans="1:3" ht="15" x14ac:dyDescent="0.25">
      <c r="A17" s="33"/>
      <c r="B17" s="8" t="s">
        <v>307</v>
      </c>
      <c r="C17" s="13">
        <f>HLOOKUP($B$5,'4.11 Comptes 2020 fonctionnelle'!$C$4:$BC$48,11,0)</f>
        <v>2503369.23</v>
      </c>
    </row>
    <row r="18" spans="1:3" ht="15" x14ac:dyDescent="0.25">
      <c r="A18" s="33"/>
      <c r="B18" s="8" t="s">
        <v>308</v>
      </c>
      <c r="C18" s="13">
        <f>HLOOKUP($B$5,'4.11 Comptes 2020 fonctionnelle'!$C$4:$BC$48,12,0)</f>
        <v>131255.51999999999</v>
      </c>
    </row>
    <row r="19" spans="1:3" ht="15" x14ac:dyDescent="0.25">
      <c r="A19" s="33"/>
      <c r="B19" s="7"/>
      <c r="C19" s="13"/>
    </row>
    <row r="20" spans="1:3" ht="15" x14ac:dyDescent="0.25">
      <c r="A20" s="113">
        <v>3</v>
      </c>
      <c r="B20" s="89" t="s">
        <v>301</v>
      </c>
      <c r="C20" s="111">
        <f>C21-C22</f>
        <v>150381.16</v>
      </c>
    </row>
    <row r="21" spans="1:3" ht="15" x14ac:dyDescent="0.25">
      <c r="A21" s="33"/>
      <c r="B21" s="8" t="s">
        <v>307</v>
      </c>
      <c r="C21" s="13">
        <f>HLOOKUP($B$5,'4.11 Comptes 2020 fonctionnelle'!$C$4:$BC$48,15,0)</f>
        <v>172609.51</v>
      </c>
    </row>
    <row r="22" spans="1:3" ht="15" x14ac:dyDescent="0.25">
      <c r="A22" s="33"/>
      <c r="B22" s="8" t="s">
        <v>308</v>
      </c>
      <c r="C22" s="13">
        <f>HLOOKUP($B$5,'4.11 Comptes 2020 fonctionnelle'!$C$4:$BC$48,16,0)</f>
        <v>22228.35</v>
      </c>
    </row>
    <row r="23" spans="1:3" ht="15" x14ac:dyDescent="0.25">
      <c r="A23" s="33"/>
      <c r="B23" s="7"/>
      <c r="C23" s="13"/>
    </row>
    <row r="24" spans="1:3" ht="15" x14ac:dyDescent="0.25">
      <c r="A24" s="113">
        <v>4</v>
      </c>
      <c r="B24" s="89" t="s">
        <v>302</v>
      </c>
      <c r="C24" s="111">
        <f>C25-C26</f>
        <v>12578.8</v>
      </c>
    </row>
    <row r="25" spans="1:3" ht="15" x14ac:dyDescent="0.25">
      <c r="A25" s="33"/>
      <c r="B25" s="8" t="s">
        <v>307</v>
      </c>
      <c r="C25" s="13">
        <f>HLOOKUP($B$5,'4.11 Comptes 2020 fonctionnelle'!$C$4:$BC$48,19,0)</f>
        <v>22578.799999999999</v>
      </c>
    </row>
    <row r="26" spans="1:3" ht="15" x14ac:dyDescent="0.25">
      <c r="A26" s="33"/>
      <c r="B26" s="8" t="s">
        <v>308</v>
      </c>
      <c r="C26" s="13">
        <f>HLOOKUP($B$5,'4.11 Comptes 2020 fonctionnelle'!$C$4:$BC$48,20,0)</f>
        <v>10000</v>
      </c>
    </row>
    <row r="27" spans="1:3" ht="15" x14ac:dyDescent="0.25">
      <c r="A27" s="33"/>
      <c r="B27" s="7"/>
      <c r="C27" s="13"/>
    </row>
    <row r="28" spans="1:3" ht="15" x14ac:dyDescent="0.25">
      <c r="A28" s="113">
        <v>5</v>
      </c>
      <c r="B28" s="89" t="s">
        <v>303</v>
      </c>
      <c r="C28" s="111">
        <f>C29-C30</f>
        <v>1357964.3499999999</v>
      </c>
    </row>
    <row r="29" spans="1:3" ht="15" x14ac:dyDescent="0.25">
      <c r="A29" s="33"/>
      <c r="B29" s="8" t="s">
        <v>307</v>
      </c>
      <c r="C29" s="13">
        <f>HLOOKUP($B$5,'4.11 Comptes 2020 fonctionnelle'!$C$4:$BC$48,23,0)</f>
        <v>1571883.45</v>
      </c>
    </row>
    <row r="30" spans="1:3" ht="15" x14ac:dyDescent="0.25">
      <c r="A30" s="33"/>
      <c r="B30" s="8" t="s">
        <v>308</v>
      </c>
      <c r="C30" s="13">
        <f>HLOOKUP($B$5,'4.11 Comptes 2020 fonctionnelle'!$C$4:$BC$48,24,0)</f>
        <v>213919.1</v>
      </c>
    </row>
    <row r="31" spans="1:3" ht="15" x14ac:dyDescent="0.25">
      <c r="A31" s="33"/>
      <c r="B31" s="7"/>
      <c r="C31" s="13"/>
    </row>
    <row r="32" spans="1:3" ht="15" x14ac:dyDescent="0.25">
      <c r="A32" s="113">
        <v>6</v>
      </c>
      <c r="B32" s="89" t="s">
        <v>860</v>
      </c>
      <c r="C32" s="111">
        <f>C33-C34</f>
        <v>553576.44999999995</v>
      </c>
    </row>
    <row r="33" spans="1:3" ht="15" x14ac:dyDescent="0.25">
      <c r="A33" s="33"/>
      <c r="B33" s="8" t="s">
        <v>307</v>
      </c>
      <c r="C33" s="13">
        <f>HLOOKUP($B$5,'4.11 Comptes 2020 fonctionnelle'!$C$4:$BC$48,27,0)</f>
        <v>727241.75</v>
      </c>
    </row>
    <row r="34" spans="1:3" ht="15" x14ac:dyDescent="0.25">
      <c r="A34" s="33"/>
      <c r="B34" s="8" t="s">
        <v>308</v>
      </c>
      <c r="C34" s="13">
        <f>HLOOKUP($B$5,'4.11 Comptes 2020 fonctionnelle'!$C$4:$BC$48,28,0)</f>
        <v>173665.3</v>
      </c>
    </row>
    <row r="35" spans="1:3" ht="15" x14ac:dyDescent="0.25">
      <c r="A35" s="33"/>
      <c r="B35" s="7"/>
      <c r="C35" s="13"/>
    </row>
    <row r="36" spans="1:3" ht="15" x14ac:dyDescent="0.25">
      <c r="A36" s="113">
        <v>7</v>
      </c>
      <c r="B36" s="89" t="s">
        <v>304</v>
      </c>
      <c r="C36" s="111">
        <f>C37-C38</f>
        <v>-53094.280000000028</v>
      </c>
    </row>
    <row r="37" spans="1:3" ht="15" x14ac:dyDescent="0.25">
      <c r="A37" s="33"/>
      <c r="B37" s="8" t="s">
        <v>307</v>
      </c>
      <c r="C37" s="13">
        <f>HLOOKUP($B$5,'4.11 Comptes 2020 fonctionnelle'!$C$4:$BC$48,31,0)</f>
        <v>781184.25</v>
      </c>
    </row>
    <row r="38" spans="1:3" ht="15" x14ac:dyDescent="0.25">
      <c r="A38" s="33"/>
      <c r="B38" s="8" t="s">
        <v>308</v>
      </c>
      <c r="C38" s="13">
        <f>HLOOKUP($B$5,'4.11 Comptes 2020 fonctionnelle'!$C$4:$BC$48,32,0)</f>
        <v>834278.53</v>
      </c>
    </row>
    <row r="39" spans="1:3" ht="15" x14ac:dyDescent="0.25">
      <c r="A39" s="33"/>
      <c r="B39" s="7"/>
      <c r="C39" s="13"/>
    </row>
    <row r="40" spans="1:3" ht="15" x14ac:dyDescent="0.25">
      <c r="A40" s="113">
        <v>8</v>
      </c>
      <c r="B40" s="89" t="s">
        <v>305</v>
      </c>
      <c r="C40" s="111">
        <f>C41-C42</f>
        <v>5893.9700000000012</v>
      </c>
    </row>
    <row r="41" spans="1:3" ht="15" x14ac:dyDescent="0.25">
      <c r="A41" s="33"/>
      <c r="B41" s="8" t="s">
        <v>307</v>
      </c>
      <c r="C41" s="13">
        <f>HLOOKUP($B$5,'4.11 Comptes 2020 fonctionnelle'!$C$4:$BC$48,35,0)</f>
        <v>158712.09</v>
      </c>
    </row>
    <row r="42" spans="1:3" ht="15" x14ac:dyDescent="0.25">
      <c r="A42" s="33"/>
      <c r="B42" s="8" t="s">
        <v>308</v>
      </c>
      <c r="C42" s="13">
        <f>HLOOKUP($B$5,'4.11 Comptes 2020 fonctionnelle'!$C$4:$BC$48,36,0)</f>
        <v>152818.12</v>
      </c>
    </row>
    <row r="43" spans="1:3" ht="15" x14ac:dyDescent="0.25">
      <c r="A43" s="33"/>
      <c r="B43" s="7"/>
      <c r="C43" s="13"/>
    </row>
    <row r="44" spans="1:3" ht="15" x14ac:dyDescent="0.25">
      <c r="A44" s="113">
        <v>9</v>
      </c>
      <c r="B44" s="89" t="s">
        <v>306</v>
      </c>
      <c r="C44" s="111">
        <f>C45-C46</f>
        <v>-4901147.4800000004</v>
      </c>
    </row>
    <row r="45" spans="1:3" ht="15" customHeight="1" x14ac:dyDescent="0.3">
      <c r="A45" s="114"/>
      <c r="B45" s="8" t="s">
        <v>307</v>
      </c>
      <c r="C45" s="13">
        <f>HLOOKUP($B$5,'4.11 Comptes 2020 fonctionnelle'!$C$4:$BC$48,39,0)</f>
        <v>525193.39</v>
      </c>
    </row>
    <row r="46" spans="1:3" ht="15" customHeight="1" x14ac:dyDescent="0.3">
      <c r="A46" s="114"/>
      <c r="B46" s="8" t="s">
        <v>308</v>
      </c>
      <c r="C46" s="13">
        <f>HLOOKUP($B$5,'4.11 Comptes 2020 fonctionnelle'!$C$4:$BC$48,40,0)</f>
        <v>5426340.8700000001</v>
      </c>
    </row>
    <row r="47" spans="1:3" ht="20.25" x14ac:dyDescent="0.3">
      <c r="A47" s="114"/>
      <c r="B47" s="115"/>
      <c r="C47" s="13"/>
    </row>
    <row r="48" spans="1:3" ht="15" x14ac:dyDescent="0.25">
      <c r="A48" s="113"/>
      <c r="B48" s="89" t="s">
        <v>726</v>
      </c>
      <c r="C48" s="117">
        <f>C49-C50</f>
        <v>0</v>
      </c>
    </row>
    <row r="49" spans="1:3" ht="20.25" x14ac:dyDescent="0.3">
      <c r="A49" s="114"/>
      <c r="B49" s="8" t="s">
        <v>307</v>
      </c>
      <c r="C49" s="13">
        <f>HLOOKUP($B$5,'4.11 Comptes 2020 fonctionnelle'!$C$4:$BC$48,43,0)</f>
        <v>7122012.2899999991</v>
      </c>
    </row>
    <row r="50" spans="1:3" ht="20.25" x14ac:dyDescent="0.3">
      <c r="A50" s="114"/>
      <c r="B50" s="8" t="s">
        <v>308</v>
      </c>
      <c r="C50" s="13">
        <f>HLOOKUP($B$5,'4.11 Comptes 2020 fonctionnelle'!$C$4:$BC$48,44,0)</f>
        <v>7122012.29</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BD45" sqref="BD45"/>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835</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860</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BD45" sqref="BD45"/>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765</v>
      </c>
      <c r="B2" s="2">
        <f>'Tableau fonctionnelle'!C8</f>
        <v>33571953.769999996</v>
      </c>
    </row>
    <row r="3" spans="1:2" x14ac:dyDescent="0.25">
      <c r="A3" s="5" t="s">
        <v>766</v>
      </c>
      <c r="B3" s="2">
        <f>'Tableau fonctionnelle'!C12</f>
        <v>11288631.559999999</v>
      </c>
    </row>
    <row r="4" spans="1:2" x14ac:dyDescent="0.25">
      <c r="A4" s="5" t="s">
        <v>767</v>
      </c>
      <c r="B4" s="2">
        <f>'Tableau fonctionnelle'!C16</f>
        <v>104894300.06999999</v>
      </c>
    </row>
    <row r="5" spans="1:2" x14ac:dyDescent="0.25">
      <c r="A5" s="5" t="s">
        <v>768</v>
      </c>
      <c r="B5" s="2">
        <f>'Tableau fonctionnelle'!C20</f>
        <v>16624969.9</v>
      </c>
    </row>
    <row r="6" spans="1:2" x14ac:dyDescent="0.25">
      <c r="A6" s="5" t="s">
        <v>769</v>
      </c>
      <c r="B6" s="2">
        <f>'Tableau fonctionnelle'!C24</f>
        <v>616789.23000000021</v>
      </c>
    </row>
    <row r="7" spans="1:2" x14ac:dyDescent="0.25">
      <c r="A7" s="5" t="s">
        <v>770</v>
      </c>
      <c r="B7" s="2">
        <f>'Tableau fonctionnelle'!C28</f>
        <v>98179837.11999999</v>
      </c>
    </row>
    <row r="8" spans="1:2" x14ac:dyDescent="0.25">
      <c r="A8" s="5" t="s">
        <v>771</v>
      </c>
      <c r="B8" s="2">
        <f>'Tableau fonctionnelle'!C32</f>
        <v>29028845.610000007</v>
      </c>
    </row>
    <row r="9" spans="1:2" x14ac:dyDescent="0.25">
      <c r="A9" s="5" t="s">
        <v>772</v>
      </c>
      <c r="B9" s="2">
        <f>'Tableau fonctionnelle'!C36</f>
        <v>43610839.490000002</v>
      </c>
    </row>
    <row r="10" spans="1:2" x14ac:dyDescent="0.25">
      <c r="A10" s="5" t="s">
        <v>773</v>
      </c>
      <c r="B10" s="2">
        <f>'Tableau fonctionnelle'!C40</f>
        <v>49458360.010000028</v>
      </c>
    </row>
    <row r="11" spans="1:2" x14ac:dyDescent="0.25">
      <c r="A11" s="5" t="s">
        <v>774</v>
      </c>
      <c r="B11" s="2">
        <f>'Tableau fonctionnelle'!C44</f>
        <v>47525776.789999999</v>
      </c>
    </row>
    <row r="12" spans="1:2" x14ac:dyDescent="0.25">
      <c r="B12" s="2"/>
    </row>
    <row r="13" spans="1:2" x14ac:dyDescent="0.25">
      <c r="A13" s="4" t="s">
        <v>136</v>
      </c>
      <c r="B13" s="2"/>
    </row>
    <row r="14" spans="1:2" x14ac:dyDescent="0.25">
      <c r="A14" s="5" t="s">
        <v>765</v>
      </c>
      <c r="B14" s="2">
        <f>'Tableau fonctionnelle'!C9</f>
        <v>3811535.2200000011</v>
      </c>
    </row>
    <row r="15" spans="1:2" x14ac:dyDescent="0.25">
      <c r="A15" s="5" t="s">
        <v>766</v>
      </c>
      <c r="B15" s="2">
        <f>'Tableau fonctionnelle'!C13</f>
        <v>7971719.9600000018</v>
      </c>
    </row>
    <row r="16" spans="1:2" x14ac:dyDescent="0.25">
      <c r="A16" s="5" t="s">
        <v>767</v>
      </c>
      <c r="B16" s="2">
        <f>'Tableau fonctionnelle'!C17</f>
        <v>6767821.8300000001</v>
      </c>
    </row>
    <row r="17" spans="1:2" x14ac:dyDescent="0.25">
      <c r="A17" s="5" t="s">
        <v>768</v>
      </c>
      <c r="B17" s="2">
        <f>'Tableau fonctionnelle'!C21</f>
        <v>1922216.8099999998</v>
      </c>
    </row>
    <row r="18" spans="1:2" x14ac:dyDescent="0.25">
      <c r="A18" s="5" t="s">
        <v>769</v>
      </c>
      <c r="B18" s="2">
        <f>'Tableau fonctionnelle'!C25</f>
        <v>30655.649999999998</v>
      </c>
    </row>
    <row r="19" spans="1:2" x14ac:dyDescent="0.25">
      <c r="A19" s="5" t="s">
        <v>770</v>
      </c>
      <c r="B19" s="2">
        <f>'Tableau fonctionnelle'!C29</f>
        <v>37696897.569999985</v>
      </c>
    </row>
    <row r="20" spans="1:2" x14ac:dyDescent="0.25">
      <c r="A20" s="5" t="s">
        <v>771</v>
      </c>
      <c r="B20" s="2">
        <f>'Tableau fonctionnelle'!C33</f>
        <v>8271763.3600000003</v>
      </c>
    </row>
    <row r="21" spans="1:2" x14ac:dyDescent="0.25">
      <c r="A21" s="5" t="s">
        <v>772</v>
      </c>
      <c r="B21" s="2">
        <f>'Tableau fonctionnelle'!C37</f>
        <v>48768581.910000004</v>
      </c>
    </row>
    <row r="22" spans="1:2" x14ac:dyDescent="0.25">
      <c r="A22" s="5" t="s">
        <v>773</v>
      </c>
      <c r="B22" s="2">
        <f>'Tableau fonctionnelle'!C41</f>
        <v>49080174.009999998</v>
      </c>
    </row>
    <row r="23" spans="1:2" x14ac:dyDescent="0.25">
      <c r="A23" s="5" t="s">
        <v>774</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09" t="s">
        <v>725</v>
      </c>
      <c r="H2" s="210"/>
      <c r="I2" s="210"/>
      <c r="J2" s="210"/>
      <c r="K2" s="211"/>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856</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M5" activePane="bottomRight" state="frozen"/>
      <selection activeCell="BD45" sqref="BD45"/>
      <selection pane="topRight" activeCell="BD45" sqref="BD45"/>
      <selection pane="bottomLeft" activeCell="BD45" sqref="BD45"/>
      <selection pane="bottomRight" activeCell="BD45" sqref="BD45"/>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823</v>
      </c>
      <c r="B2" s="7"/>
      <c r="C2" s="7"/>
      <c r="D2" s="7"/>
      <c r="E2" s="16"/>
    </row>
    <row r="3" spans="1:62" x14ac:dyDescent="0.2">
      <c r="A3" s="8" t="s">
        <v>780</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59034862.589999996</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915185372.45000029</v>
      </c>
      <c r="BH121" s="124">
        <f t="shared" si="16"/>
        <v>450488338.53000009</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47318439.43</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646617537.25999999</v>
      </c>
      <c r="BH122" s="126">
        <f t="shared" si="16"/>
        <v>352784472.90999997</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362937.54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17332224.73</v>
      </c>
      <c r="BH143" s="128">
        <f t="shared" si="29"/>
        <v>7362584.6600000001</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4516.55</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1956759.7499999995</v>
      </c>
      <c r="BH146" s="99">
        <f t="shared" si="29"/>
        <v>1113662.55</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f>BH217+BI217+BJ217</f>
        <v>-1818630.08</v>
      </c>
    </row>
    <row r="218" spans="3:63" ht="15" x14ac:dyDescent="0.25">
      <c r="D218" s="8">
        <v>2999</v>
      </c>
      <c r="E218" s="8" t="s">
        <v>841</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f>BH218+BI218+BJ218</f>
        <v>106997787</v>
      </c>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0.10000001639127731</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9.9999785423278809E-2</v>
      </c>
      <c r="BH226" s="25">
        <f t="shared" si="54"/>
        <v>9.9999904632568359E-2</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BD45" sqref="BD45"/>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834</v>
      </c>
      <c r="B2" s="7"/>
      <c r="C2" s="7"/>
      <c r="D2" s="7"/>
      <c r="E2" s="16"/>
    </row>
    <row r="4" spans="1:6" ht="15" thickBot="1" x14ac:dyDescent="0.25"/>
    <row r="5" spans="1:6" ht="15.75" thickBot="1" x14ac:dyDescent="0.3">
      <c r="A5" s="8" t="s">
        <v>628</v>
      </c>
      <c r="E5" s="96" t="s">
        <v>22</v>
      </c>
    </row>
    <row r="8" spans="1:6" ht="20.25" x14ac:dyDescent="0.3">
      <c r="A8" s="118">
        <v>1</v>
      </c>
      <c r="B8" s="118"/>
      <c r="C8" s="118"/>
      <c r="D8" s="118"/>
      <c r="E8" s="118" t="s">
        <v>238</v>
      </c>
      <c r="F8" s="132">
        <f>HLOOKUP($E$5,'5. Bilan'!$F$4:$BF$227,2,0)</f>
        <v>59034862.690000013</v>
      </c>
    </row>
    <row r="9" spans="1:6" ht="15" x14ac:dyDescent="0.25">
      <c r="A9" s="16"/>
      <c r="B9" s="120">
        <v>10</v>
      </c>
      <c r="C9" s="120"/>
      <c r="D9" s="120"/>
      <c r="E9" s="120" t="s">
        <v>239</v>
      </c>
      <c r="F9" s="121">
        <f>HLOOKUP($E$5,'5. Bilan'!$F$4:$BF$227,3,0)</f>
        <v>18227970.310000002</v>
      </c>
    </row>
    <row r="10" spans="1:6" ht="15" x14ac:dyDescent="0.25">
      <c r="A10" s="17"/>
      <c r="B10" s="17"/>
      <c r="C10" s="89">
        <v>100</v>
      </c>
      <c r="D10" s="89"/>
      <c r="E10" s="89" t="s">
        <v>240</v>
      </c>
      <c r="F10" s="133">
        <f>SUM(F11:F16)</f>
        <v>5194596.42</v>
      </c>
    </row>
    <row r="11" spans="1:6" x14ac:dyDescent="0.2">
      <c r="D11" s="8">
        <v>1000</v>
      </c>
      <c r="E11" s="8" t="s">
        <v>310</v>
      </c>
      <c r="F11" s="13">
        <f>HLOOKUP($E$5,'5. Bilan'!$F$4:$BF$227,5,0)</f>
        <v>5960.65</v>
      </c>
    </row>
    <row r="12" spans="1:6" x14ac:dyDescent="0.2">
      <c r="D12" s="8">
        <v>1001</v>
      </c>
      <c r="E12" s="8" t="s">
        <v>311</v>
      </c>
      <c r="F12" s="13">
        <f>HLOOKUP($E$5,'5. Bilan'!$F$4:$BF$227,6,0)</f>
        <v>1177412.73</v>
      </c>
    </row>
    <row r="13" spans="1:6" x14ac:dyDescent="0.2">
      <c r="D13" s="8">
        <v>1002</v>
      </c>
      <c r="E13" s="8" t="s">
        <v>319</v>
      </c>
      <c r="F13" s="13">
        <f>HLOOKUP($E$5,'5. Bilan'!$F$4:$BF$227,7,0)</f>
        <v>4011223.04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6214125.1900000004</v>
      </c>
    </row>
    <row r="19" spans="1:6" x14ac:dyDescent="0.2">
      <c r="D19" s="8">
        <v>1010</v>
      </c>
      <c r="E19" s="8" t="s">
        <v>315</v>
      </c>
      <c r="F19" s="13">
        <f>HLOOKUP($E$5,'5. Bilan'!$F$4:$BF$227,13,0)</f>
        <v>1418179.93</v>
      </c>
    </row>
    <row r="20" spans="1:6" x14ac:dyDescent="0.2">
      <c r="D20" s="8">
        <v>1011</v>
      </c>
      <c r="E20" s="8" t="s">
        <v>396</v>
      </c>
      <c r="F20" s="13">
        <f>HLOOKUP($E$5,'5. Bilan'!$F$4:$BF$227,14,0)</f>
        <v>646810.16</v>
      </c>
    </row>
    <row r="21" spans="1:6" x14ac:dyDescent="0.2">
      <c r="D21" s="8">
        <v>1012</v>
      </c>
      <c r="E21" s="8" t="s">
        <v>316</v>
      </c>
      <c r="F21" s="13">
        <f>HLOOKUP($E$5,'5. Bilan'!$F$4:$BF$227,15,0)</f>
        <v>4140310.81</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8824.2900000000009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1785905.0400000003</v>
      </c>
    </row>
    <row r="35" spans="3:6" x14ac:dyDescent="0.2">
      <c r="D35" s="8">
        <v>1040</v>
      </c>
      <c r="E35" s="8" t="s">
        <v>61</v>
      </c>
      <c r="F35" s="13">
        <f>HLOOKUP($E$5,'5. Bilan'!$F$4:$BF$227,29,0)</f>
        <v>0</v>
      </c>
    </row>
    <row r="36" spans="3:6" x14ac:dyDescent="0.2">
      <c r="D36" s="8">
        <v>1041</v>
      </c>
      <c r="E36" s="8" t="s">
        <v>327</v>
      </c>
      <c r="F36" s="13">
        <f>HLOOKUP($E$5,'5. Bilan'!$F$4:$BF$227,30,0)</f>
        <v>171845.33</v>
      </c>
    </row>
    <row r="37" spans="3:6" x14ac:dyDescent="0.2">
      <c r="D37" s="8">
        <v>1042</v>
      </c>
      <c r="E37" s="8" t="s">
        <v>328</v>
      </c>
      <c r="F37" s="13">
        <f>HLOOKUP($E$5,'5. Bilan'!$F$4:$BF$227,31,0)</f>
        <v>1302531.96</v>
      </c>
    </row>
    <row r="38" spans="3:6" x14ac:dyDescent="0.2">
      <c r="D38" s="8">
        <v>1043</v>
      </c>
      <c r="E38" s="8" t="s">
        <v>329</v>
      </c>
      <c r="F38" s="13">
        <f>HLOOKUP($E$5,'5. Bilan'!$F$4:$BF$227,32,0)</f>
        <v>87844.3</v>
      </c>
    </row>
    <row r="39" spans="3:6" x14ac:dyDescent="0.2">
      <c r="D39" s="8">
        <v>1044</v>
      </c>
      <c r="E39" s="8" t="s">
        <v>330</v>
      </c>
      <c r="F39" s="13">
        <f>HLOOKUP($E$5,'5. Bilan'!$F$4:$BF$227,33,0)</f>
        <v>0</v>
      </c>
    </row>
    <row r="40" spans="3:6" x14ac:dyDescent="0.2">
      <c r="D40" s="8">
        <v>1045</v>
      </c>
      <c r="E40" s="8" t="s">
        <v>331</v>
      </c>
      <c r="F40" s="13">
        <f>HLOOKUP($E$5,'5. Bilan'!$F$4:$BF$227,34,0)</f>
        <v>36670.85</v>
      </c>
    </row>
    <row r="41" spans="3:6" x14ac:dyDescent="0.2">
      <c r="D41" s="8">
        <v>1046</v>
      </c>
      <c r="E41" s="8" t="s">
        <v>332</v>
      </c>
      <c r="F41" s="13">
        <f>HLOOKUP($E$5,'5. Bilan'!$F$4:$BF$227,35,0)</f>
        <v>187012.6</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248120</v>
      </c>
    </row>
    <row r="45" spans="3:6" x14ac:dyDescent="0.2">
      <c r="D45" s="8">
        <v>1060</v>
      </c>
      <c r="E45" s="8" t="s">
        <v>334</v>
      </c>
      <c r="F45" s="13">
        <f>HLOOKUP($E$5,'5. Bilan'!$F$4:$BF$227,39,0)</f>
        <v>0</v>
      </c>
    </row>
    <row r="46" spans="3:6" x14ac:dyDescent="0.2">
      <c r="D46" s="8">
        <v>1061</v>
      </c>
      <c r="E46" s="8" t="s">
        <v>335</v>
      </c>
      <c r="F46" s="13">
        <f>HLOOKUP($E$5,'5. Bilan'!$F$4:$BF$227,40,0)</f>
        <v>199120</v>
      </c>
    </row>
    <row r="47" spans="3:6" x14ac:dyDescent="0.2">
      <c r="D47" s="8">
        <v>1062</v>
      </c>
      <c r="E47" s="8" t="s">
        <v>336</v>
      </c>
      <c r="F47" s="13">
        <f>HLOOKUP($E$5,'5. Bilan'!$F$4:$BF$227,41,0)</f>
        <v>0</v>
      </c>
    </row>
    <row r="48" spans="3:6" x14ac:dyDescent="0.2">
      <c r="D48" s="8">
        <v>1063</v>
      </c>
      <c r="E48" s="8" t="s">
        <v>337</v>
      </c>
      <c r="F48" s="13">
        <f>HLOOKUP($E$5,'5. Bilan'!$F$4:$BF$227,42,0)</f>
        <v>49000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284034.5</v>
      </c>
    </row>
    <row r="52" spans="3:6" x14ac:dyDescent="0.2">
      <c r="D52" s="8">
        <v>1070</v>
      </c>
      <c r="E52" s="8" t="s">
        <v>339</v>
      </c>
      <c r="F52" s="13">
        <f>HLOOKUP($E$5,'5. Bilan'!$F$4:$BF$227,46,0)</f>
        <v>284034.5</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4501189.16</v>
      </c>
    </row>
    <row r="58" spans="3:6" x14ac:dyDescent="0.2">
      <c r="D58" s="8">
        <v>1080</v>
      </c>
      <c r="E58" s="8" t="s">
        <v>344</v>
      </c>
      <c r="F58" s="13">
        <f>HLOOKUP($E$5,'5. Bilan'!$F$4:$BF$227,52,0)</f>
        <v>2236396.37</v>
      </c>
    </row>
    <row r="59" spans="3:6" x14ac:dyDescent="0.2">
      <c r="D59" s="8">
        <v>1084</v>
      </c>
      <c r="E59" s="8" t="s">
        <v>345</v>
      </c>
      <c r="F59" s="13">
        <f>HLOOKUP($E$5,'5. Bilan'!$F$4:$BF$227,53,0)</f>
        <v>1124850</v>
      </c>
    </row>
    <row r="60" spans="3:6" x14ac:dyDescent="0.2">
      <c r="D60" s="8">
        <v>1086</v>
      </c>
      <c r="E60" s="8" t="s">
        <v>346</v>
      </c>
      <c r="F60" s="13">
        <f>HLOOKUP($E$5,'5. Bilan'!$F$4:$BF$227,54,0)</f>
        <v>0</v>
      </c>
    </row>
    <row r="61" spans="3:6" x14ac:dyDescent="0.2">
      <c r="D61" s="8">
        <v>1087</v>
      </c>
      <c r="E61" s="8" t="s">
        <v>347</v>
      </c>
      <c r="F61" s="13">
        <f>HLOOKUP($E$5,'5. Bilan'!$F$4:$BF$227,55,0)</f>
        <v>1139942.79</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40806892.38000001</v>
      </c>
    </row>
    <row r="72" spans="2:6" ht="15" x14ac:dyDescent="0.25">
      <c r="C72" s="89">
        <v>140</v>
      </c>
      <c r="D72" s="89"/>
      <c r="E72" s="89" t="s">
        <v>248</v>
      </c>
      <c r="F72" s="111">
        <f>SUM(F73:F81)</f>
        <v>37877333.000000007</v>
      </c>
    </row>
    <row r="73" spans="2:6" x14ac:dyDescent="0.2">
      <c r="D73" s="8">
        <v>1400</v>
      </c>
      <c r="E73" s="8" t="s">
        <v>354</v>
      </c>
      <c r="F73" s="13">
        <f>HLOOKUP($E$5,'5. Bilan'!$F$4:$BF$227,67,0)</f>
        <v>141611.04999999999</v>
      </c>
    </row>
    <row r="74" spans="2:6" x14ac:dyDescent="0.2">
      <c r="D74" s="8">
        <v>1401</v>
      </c>
      <c r="E74" s="8" t="s">
        <v>355</v>
      </c>
      <c r="F74" s="13">
        <f>HLOOKUP($E$5,'5. Bilan'!$F$4:$BF$227,68,0)</f>
        <v>12991407.800000001</v>
      </c>
    </row>
    <row r="75" spans="2:6" x14ac:dyDescent="0.2">
      <c r="D75" s="8">
        <v>1402</v>
      </c>
      <c r="E75" s="8" t="s">
        <v>356</v>
      </c>
      <c r="F75" s="13">
        <f>HLOOKUP($E$5,'5. Bilan'!$F$4:$BF$227,69,0)</f>
        <v>86945.3</v>
      </c>
    </row>
    <row r="76" spans="2:6" x14ac:dyDescent="0.2">
      <c r="D76" s="8">
        <v>1403</v>
      </c>
      <c r="E76" s="8" t="s">
        <v>357</v>
      </c>
      <c r="F76" s="13">
        <f>HLOOKUP($E$5,'5. Bilan'!$F$4:$BF$227,70,0)</f>
        <v>5704087.2999999998</v>
      </c>
    </row>
    <row r="77" spans="2:6" x14ac:dyDescent="0.2">
      <c r="D77" s="8">
        <v>1404</v>
      </c>
      <c r="E77" s="8" t="s">
        <v>358</v>
      </c>
      <c r="F77" s="13">
        <f>HLOOKUP($E$5,'5. Bilan'!$F$4:$BF$227,71,0)</f>
        <v>14237115.300000001</v>
      </c>
    </row>
    <row r="78" spans="2:6" x14ac:dyDescent="0.2">
      <c r="D78" s="8">
        <v>1405</v>
      </c>
      <c r="E78" s="8" t="s">
        <v>359</v>
      </c>
      <c r="F78" s="13">
        <f>HLOOKUP($E$5,'5. Bilan'!$F$4:$BF$227,72,0)</f>
        <v>0</v>
      </c>
    </row>
    <row r="79" spans="2:6" x14ac:dyDescent="0.2">
      <c r="D79" s="8">
        <v>1406</v>
      </c>
      <c r="E79" s="8" t="s">
        <v>360</v>
      </c>
      <c r="F79" s="13">
        <f>HLOOKUP($E$5,'5. Bilan'!$F$4:$BF$227,73,0)</f>
        <v>589979.15</v>
      </c>
    </row>
    <row r="80" spans="2:6" x14ac:dyDescent="0.2">
      <c r="D80" s="8">
        <v>1407</v>
      </c>
      <c r="E80" s="8" t="s">
        <v>361</v>
      </c>
      <c r="F80" s="13">
        <f>HLOOKUP($E$5,'5. Bilan'!$F$4:$BF$227,74,0)</f>
        <v>4126187.1</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530200.1</v>
      </c>
    </row>
    <row r="84" spans="3:6" x14ac:dyDescent="0.2">
      <c r="D84" s="17">
        <v>1420</v>
      </c>
      <c r="E84" s="17" t="s">
        <v>363</v>
      </c>
      <c r="F84" s="13">
        <f>HLOOKUP($E$5,'5. Bilan'!$F$4:$BF$227,78,0)</f>
        <v>112996.8</v>
      </c>
    </row>
    <row r="85" spans="3:6" x14ac:dyDescent="0.2">
      <c r="D85" s="17">
        <v>1421</v>
      </c>
      <c r="E85" s="17" t="s">
        <v>364</v>
      </c>
      <c r="F85" s="13">
        <f>HLOOKUP($E$5,'5. Bilan'!$F$4:$BF$227,79,0)</f>
        <v>0</v>
      </c>
    </row>
    <row r="86" spans="3:6" x14ac:dyDescent="0.2">
      <c r="D86" s="17">
        <v>1427</v>
      </c>
      <c r="E86" s="17" t="s">
        <v>576</v>
      </c>
      <c r="F86" s="13">
        <f>HLOOKUP($E$5,'5. Bilan'!$F$4:$BF$227,80,0)</f>
        <v>339019.85</v>
      </c>
    </row>
    <row r="87" spans="3:6" x14ac:dyDescent="0.2">
      <c r="D87" s="17">
        <v>1429</v>
      </c>
      <c r="E87" s="17" t="s">
        <v>462</v>
      </c>
      <c r="F87" s="13">
        <f>HLOOKUP($E$5,'5. Bilan'!$F$4:$BF$227,81,0)</f>
        <v>78183.45</v>
      </c>
    </row>
    <row r="88" spans="3:6" x14ac:dyDescent="0.2">
      <c r="F88" s="13"/>
    </row>
    <row r="89" spans="3:6" ht="15" x14ac:dyDescent="0.25">
      <c r="C89" s="89">
        <v>144</v>
      </c>
      <c r="D89" s="89"/>
      <c r="E89" s="89" t="s">
        <v>249</v>
      </c>
      <c r="F89" s="111">
        <f>SUM(F90:F98)</f>
        <v>180802</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20790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160012</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22040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10000</v>
      </c>
    </row>
    <row r="106" spans="3:6" x14ac:dyDescent="0.2">
      <c r="D106" s="8">
        <v>1455</v>
      </c>
      <c r="E106" s="8" t="s">
        <v>380</v>
      </c>
      <c r="F106" s="13">
        <f>HLOOKUP($E$5,'5. Bilan'!$F$4:$BF$227,100,0)</f>
        <v>12040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2196517.2799999998</v>
      </c>
    </row>
    <row r="112" spans="3:6" x14ac:dyDescent="0.2">
      <c r="D112" s="8">
        <v>1460</v>
      </c>
      <c r="E112" s="8" t="s">
        <v>391</v>
      </c>
      <c r="F112" s="13">
        <f>HLOOKUP($E$5,'5. Bilan'!$F$4:$BF$227,106,0)</f>
        <v>0</v>
      </c>
    </row>
    <row r="113" spans="1:6" x14ac:dyDescent="0.2">
      <c r="D113" s="8">
        <v>1461</v>
      </c>
      <c r="E113" s="8" t="s">
        <v>392</v>
      </c>
      <c r="F113" s="13">
        <f>HLOOKUP($E$5,'5. Bilan'!$F$4:$BF$227,107,0)</f>
        <v>86616.9</v>
      </c>
    </row>
    <row r="114" spans="1:6" x14ac:dyDescent="0.2">
      <c r="D114" s="8">
        <v>1462</v>
      </c>
      <c r="E114" s="8" t="s">
        <v>384</v>
      </c>
      <c r="F114" s="13">
        <f>HLOOKUP($E$5,'5. Bilan'!$F$4:$BF$227,108,0)</f>
        <v>1976903.63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132996.75</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59034862.589999996</v>
      </c>
    </row>
    <row r="125" spans="1:6" ht="15" x14ac:dyDescent="0.25">
      <c r="A125" s="7"/>
      <c r="B125" s="125">
        <v>20</v>
      </c>
      <c r="C125" s="125"/>
      <c r="D125" s="125"/>
      <c r="E125" s="125" t="s">
        <v>251</v>
      </c>
      <c r="F125" s="126">
        <f>HLOOKUP($E$5,'5. Bilan'!$F$4:$BF$227,119,0)</f>
        <v>47318439.43</v>
      </c>
    </row>
    <row r="126" spans="1:6" ht="15" x14ac:dyDescent="0.25">
      <c r="C126" s="127">
        <v>200</v>
      </c>
      <c r="D126" s="127"/>
      <c r="E126" s="127" t="s">
        <v>252</v>
      </c>
      <c r="F126" s="128">
        <f>SUM(F127:F134)</f>
        <v>2440635.39</v>
      </c>
    </row>
    <row r="127" spans="1:6" x14ac:dyDescent="0.2">
      <c r="D127" s="8">
        <v>2000</v>
      </c>
      <c r="E127" s="8" t="s">
        <v>395</v>
      </c>
      <c r="F127" s="13">
        <f>HLOOKUP($E$5,'5. Bilan'!$F$4:$BF$227,121,0)</f>
        <v>2219570.15</v>
      </c>
    </row>
    <row r="128" spans="1:6" x14ac:dyDescent="0.2">
      <c r="D128" s="8">
        <v>2001</v>
      </c>
      <c r="E128" s="8" t="s">
        <v>396</v>
      </c>
      <c r="F128" s="13">
        <f>HLOOKUP($E$5,'5. Bilan'!$F$4:$BF$227,122,0)</f>
        <v>51927.9</v>
      </c>
    </row>
    <row r="129" spans="3:6" x14ac:dyDescent="0.2">
      <c r="D129" s="8">
        <v>2002</v>
      </c>
      <c r="E129" s="8" t="s">
        <v>397</v>
      </c>
      <c r="F129" s="13">
        <f>HLOOKUP($E$5,'5. Bilan'!$F$4:$BF$227,123,0)</f>
        <v>79439.64</v>
      </c>
    </row>
    <row r="130" spans="3:6" x14ac:dyDescent="0.2">
      <c r="D130" s="8">
        <v>2003</v>
      </c>
      <c r="E130" s="8" t="s">
        <v>398</v>
      </c>
      <c r="F130" s="13">
        <f>HLOOKUP($E$5,'5. Bilan'!$F$4:$BF$227,124,0)</f>
        <v>80150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9547.7000000000007</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9445973.3000000007</v>
      </c>
    </row>
    <row r="137" spans="3:6" x14ac:dyDescent="0.2">
      <c r="D137" s="8">
        <v>2010</v>
      </c>
      <c r="E137" s="8" t="s">
        <v>402</v>
      </c>
      <c r="F137" s="13">
        <f>HLOOKUP($E$5,'5. Bilan'!$F$4:$BF$227,131,0)</f>
        <v>0</v>
      </c>
    </row>
    <row r="138" spans="3:6" x14ac:dyDescent="0.2">
      <c r="D138" s="8">
        <v>2011</v>
      </c>
      <c r="E138" s="8" t="s">
        <v>403</v>
      </c>
      <c r="F138" s="13">
        <f>HLOOKUP($E$5,'5. Bilan'!$F$4:$BF$227,132,0)</f>
        <v>3000000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6446160.1500000004</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-186.85</v>
      </c>
    </row>
    <row r="145" spans="3:6" x14ac:dyDescent="0.2">
      <c r="F145" s="13"/>
    </row>
    <row r="146" spans="3:6" ht="15" x14ac:dyDescent="0.25">
      <c r="C146" s="127">
        <v>204</v>
      </c>
      <c r="D146" s="127"/>
      <c r="E146" s="127" t="s">
        <v>254</v>
      </c>
      <c r="F146" s="128">
        <f>SUM(F147:F154)</f>
        <v>362937.54</v>
      </c>
    </row>
    <row r="147" spans="3:6" x14ac:dyDescent="0.2">
      <c r="D147" s="8">
        <v>2040</v>
      </c>
      <c r="E147" s="8" t="s">
        <v>61</v>
      </c>
      <c r="F147" s="13">
        <f>HLOOKUP($E$5,'5. Bilan'!$F$4:$BF$227,141,0)</f>
        <v>19536.150000000001</v>
      </c>
    </row>
    <row r="148" spans="3:6" x14ac:dyDescent="0.2">
      <c r="D148" s="8">
        <v>2041</v>
      </c>
      <c r="E148" s="8" t="s">
        <v>276</v>
      </c>
      <c r="F148" s="13">
        <f>HLOOKUP($E$5,'5. Bilan'!$F$4:$BF$227,142,0)</f>
        <v>179426.65</v>
      </c>
    </row>
    <row r="149" spans="3:6" x14ac:dyDescent="0.2">
      <c r="D149" s="8">
        <v>2042</v>
      </c>
      <c r="E149" s="8" t="s">
        <v>328</v>
      </c>
      <c r="F149" s="13">
        <f>HLOOKUP($E$5,'5. Bilan'!$F$4:$BF$227,143,0)</f>
        <v>4516.55</v>
      </c>
    </row>
    <row r="150" spans="3:6" x14ac:dyDescent="0.2">
      <c r="D150" s="8">
        <v>2043</v>
      </c>
      <c r="E150" s="8" t="s">
        <v>329</v>
      </c>
      <c r="F150" s="13">
        <f>HLOOKUP($E$5,'5. Bilan'!$F$4:$BF$227,144,0)</f>
        <v>103911.86</v>
      </c>
    </row>
    <row r="151" spans="3:6" x14ac:dyDescent="0.2">
      <c r="D151" s="8">
        <v>2044</v>
      </c>
      <c r="E151" s="8" t="s">
        <v>409</v>
      </c>
      <c r="F151" s="13">
        <f>HLOOKUP($E$5,'5. Bilan'!$F$4:$BF$227,145,0)</f>
        <v>57375</v>
      </c>
    </row>
    <row r="152" spans="3:6" x14ac:dyDescent="0.2">
      <c r="D152" s="8">
        <v>2045</v>
      </c>
      <c r="E152" s="8" t="s">
        <v>331</v>
      </c>
      <c r="F152" s="13">
        <f>HLOOKUP($E$5,'5. Bilan'!$F$4:$BF$227,146,0)</f>
        <v>-1828.67</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109573.70000000001</v>
      </c>
    </row>
    <row r="157" spans="3:6" x14ac:dyDescent="0.2">
      <c r="D157" s="8">
        <v>2050</v>
      </c>
      <c r="E157" s="8" t="s">
        <v>412</v>
      </c>
      <c r="F157" s="13">
        <f>HLOOKUP($E$5,'5. Bilan'!$F$4:$BF$227,151,0)</f>
        <v>105000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495.6</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4078.1</v>
      </c>
    </row>
    <row r="167" spans="3:6" x14ac:dyDescent="0.2">
      <c r="F167" s="13"/>
    </row>
    <row r="168" spans="3:6" ht="15" x14ac:dyDescent="0.25">
      <c r="C168" s="127">
        <v>206</v>
      </c>
      <c r="D168" s="127"/>
      <c r="E168" s="127" t="s">
        <v>256</v>
      </c>
      <c r="F168" s="128">
        <f>SUM(F169:F174)</f>
        <v>33729190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33729190</v>
      </c>
    </row>
    <row r="172" spans="3:6" x14ac:dyDescent="0.2">
      <c r="D172" s="8">
        <v>2064</v>
      </c>
      <c r="E172" s="8" t="s">
        <v>445</v>
      </c>
      <c r="F172" s="13">
        <f>HLOOKUP($E$5,'5. Bilan'!$F$4:$BF$227,166,0)</f>
        <v>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477423.5</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477423.5</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752706</v>
      </c>
    </row>
    <row r="188" spans="3:6" x14ac:dyDescent="0.2">
      <c r="D188" s="8">
        <v>2090</v>
      </c>
      <c r="E188" s="8" t="s">
        <v>258</v>
      </c>
      <c r="F188" s="13">
        <f>HLOOKUP($E$5,'5. Bilan'!$F$4:$BF$227,182,0)</f>
        <v>0</v>
      </c>
    </row>
    <row r="189" spans="3:6" x14ac:dyDescent="0.2">
      <c r="D189" s="8">
        <v>2091</v>
      </c>
      <c r="E189" s="8" t="s">
        <v>437</v>
      </c>
      <c r="F189" s="13">
        <f>HLOOKUP($E$5,'5. Bilan'!$F$4:$BF$227,183,0)</f>
        <v>752706</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11716423.159999998</v>
      </c>
    </row>
    <row r="194" spans="2:6" ht="15" x14ac:dyDescent="0.25">
      <c r="C194" s="127">
        <v>290</v>
      </c>
      <c r="D194" s="127"/>
      <c r="E194" s="127" t="s">
        <v>260</v>
      </c>
      <c r="F194" s="128">
        <f>SUM(F195)</f>
        <v>4590811.22</v>
      </c>
    </row>
    <row r="195" spans="2:6" x14ac:dyDescent="0.2">
      <c r="D195" s="8">
        <v>2900</v>
      </c>
      <c r="E195" s="8" t="s">
        <v>260</v>
      </c>
      <c r="F195" s="13">
        <f>HLOOKUP($E$5,'5. Bilan'!$F$4:$BF$227,189,0)</f>
        <v>4590811.22</v>
      </c>
    </row>
    <row r="196" spans="2:6" x14ac:dyDescent="0.2">
      <c r="F196" s="13"/>
    </row>
    <row r="197" spans="2:6" ht="15" x14ac:dyDescent="0.25">
      <c r="C197" s="127">
        <v>291</v>
      </c>
      <c r="D197" s="127"/>
      <c r="E197" s="127" t="s">
        <v>261</v>
      </c>
      <c r="F197" s="128">
        <f>SUM(F198:F199)</f>
        <v>269724.81</v>
      </c>
    </row>
    <row r="198" spans="2:6" x14ac:dyDescent="0.2">
      <c r="D198" s="8">
        <v>2910</v>
      </c>
      <c r="E198" s="8" t="s">
        <v>261</v>
      </c>
      <c r="F198" s="13">
        <f>HLOOKUP($E$5,'5. Bilan'!$F$4:$BF$227,192,0)</f>
        <v>0</v>
      </c>
    </row>
    <row r="199" spans="2:6" x14ac:dyDescent="0.2">
      <c r="D199" s="8">
        <v>2911</v>
      </c>
      <c r="E199" s="8" t="s">
        <v>440</v>
      </c>
      <c r="F199" s="13">
        <f>HLOOKUP($E$5,'5. Bilan'!$F$4:$BF$227,193,0)</f>
        <v>269724.81</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3312134.98</v>
      </c>
    </row>
    <row r="205" spans="2:6" x14ac:dyDescent="0.2">
      <c r="D205" s="8">
        <v>2930</v>
      </c>
      <c r="E205" s="8" t="s">
        <v>263</v>
      </c>
      <c r="F205" s="13">
        <f>HLOOKUP($E$5,'5. Bilan'!$F$4:$BF$227,199,0)</f>
        <v>3312134.98</v>
      </c>
    </row>
    <row r="206" spans="2:6" x14ac:dyDescent="0.2">
      <c r="F206" s="13"/>
    </row>
    <row r="207" spans="2:6" ht="15" x14ac:dyDescent="0.25">
      <c r="C207" s="127">
        <v>294</v>
      </c>
      <c r="D207" s="127"/>
      <c r="E207" s="127" t="s">
        <v>264</v>
      </c>
      <c r="F207" s="128">
        <f>SUM(F208)</f>
        <v>987900</v>
      </c>
    </row>
    <row r="208" spans="2:6" x14ac:dyDescent="0.2">
      <c r="D208" s="8">
        <v>2940</v>
      </c>
      <c r="E208" s="8" t="s">
        <v>264</v>
      </c>
      <c r="F208" s="13">
        <f>HLOOKUP($E$5,'5. Bilan'!$F$4:$BF$227,202,0)</f>
        <v>987900</v>
      </c>
    </row>
    <row r="209" spans="3:6" x14ac:dyDescent="0.2">
      <c r="F209" s="13"/>
    </row>
    <row r="210" spans="3:6" ht="15" x14ac:dyDescent="0.25">
      <c r="C210" s="127">
        <v>295</v>
      </c>
      <c r="D210" s="127"/>
      <c r="E210" s="127" t="s">
        <v>265</v>
      </c>
      <c r="F210" s="128">
        <f>SUM(F211)</f>
        <v>1843840.03</v>
      </c>
    </row>
    <row r="211" spans="3:6" x14ac:dyDescent="0.2">
      <c r="D211" s="8">
        <v>2950</v>
      </c>
      <c r="E211" s="8" t="s">
        <v>265</v>
      </c>
      <c r="F211" s="13">
        <f>HLOOKUP($E$5,'5. Bilan'!$F$4:$BF$227,205,0)</f>
        <v>1843840.03</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712012.12</v>
      </c>
    </row>
    <row r="220" spans="3:6" x14ac:dyDescent="0.2">
      <c r="D220" s="8">
        <v>2990</v>
      </c>
      <c r="E220" s="8" t="s">
        <v>441</v>
      </c>
      <c r="F220" s="13">
        <f>HLOOKUP($E$5,'5. Bilan'!$F$4:$BF$227,214,0)</f>
        <v>383432.05</v>
      </c>
    </row>
    <row r="221" spans="3:6" x14ac:dyDescent="0.2">
      <c r="D221" s="8">
        <v>2999</v>
      </c>
      <c r="E221" s="8" t="s">
        <v>841</v>
      </c>
      <c r="F221" s="13">
        <f>HLOOKUP($E$5,'5. Bilan'!$F$4:$BF$227,215,0)</f>
        <v>328580.07</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702588.75</v>
      </c>
    </row>
    <row r="225" spans="4:6" x14ac:dyDescent="0.2">
      <c r="D225" s="8">
        <v>2990</v>
      </c>
      <c r="E225" s="8" t="s">
        <v>583</v>
      </c>
      <c r="F225" s="13">
        <f>HLOOKUP($E$5,'5. Bilan'!$F$4:$BF$227,219,0)</f>
        <v>383432.05</v>
      </c>
    </row>
    <row r="226" spans="4:6" x14ac:dyDescent="0.2">
      <c r="F226" s="13"/>
    </row>
    <row r="227" spans="4:6" ht="15" x14ac:dyDescent="0.25">
      <c r="E227" s="7" t="s">
        <v>582</v>
      </c>
      <c r="F227" s="13">
        <f>HLOOKUP($E$5,'5. Bilan'!$F$4:$BF$227,221,0)</f>
        <v>1086020.8</v>
      </c>
    </row>
    <row r="228" spans="4:6" x14ac:dyDescent="0.2">
      <c r="F228" s="13"/>
    </row>
    <row r="229" spans="4:6" x14ac:dyDescent="0.2">
      <c r="E229" s="90" t="s">
        <v>581</v>
      </c>
      <c r="F229" s="13">
        <f>HLOOKUP($E$5,'5. Bilan'!$F$4:$BF$227,223,0)</f>
        <v>0.10000001639127731</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BD45" sqref="BD45"/>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823</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915185372.45000029</v>
      </c>
    </row>
    <row r="120" spans="1:6" ht="15" x14ac:dyDescent="0.25">
      <c r="A120" s="7"/>
      <c r="B120" s="125">
        <v>20</v>
      </c>
      <c r="C120" s="125"/>
      <c r="D120" s="125"/>
      <c r="E120" s="125" t="s">
        <v>251</v>
      </c>
      <c r="F120" s="126">
        <f>'5. Bilan'!BG122</f>
        <v>646617537.25999999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17332224.73</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1956759.7499999995</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9.9999785423278809E-2</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BD45" sqref="BD45"/>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BD45" sqref="BD45"/>
      <selection pane="topRight" activeCell="BD45" sqref="BD45"/>
      <selection pane="bottomLeft" activeCell="BD45" sqref="BD45"/>
      <selection pane="bottomRight" activeCell="BD45" sqref="BD45"/>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821</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47318439.43</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646617537.25999999</v>
      </c>
      <c r="BE10" s="19">
        <f t="shared" ref="BE10:BE24" si="0">SUM(C10:U10)</f>
        <v>352784472.90999997</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29090469.119999997</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299391701.24999994</v>
      </c>
      <c r="BE24" s="141">
        <f t="shared" si="0"/>
        <v>190004876.63999996</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3974.6507883590652</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4053.2282034793197</v>
      </c>
      <c r="BE25" s="117">
        <f t="shared" si="7"/>
        <v>4833.6227489887797</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BD45" sqref="BD45"/>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776</v>
      </c>
      <c r="C2" s="33" t="s">
        <v>778</v>
      </c>
      <c r="D2" s="33" t="s">
        <v>777</v>
      </c>
      <c r="E2" s="33" t="s">
        <v>779</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29090469.119999997</v>
      </c>
      <c r="E13" s="13">
        <f>'5.4 Tableau de l''endettement'!M25</f>
        <v>3974.6507883590652</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BD45" sqref="BD45"/>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833</v>
      </c>
      <c r="B2" s="7"/>
    </row>
    <row r="3" spans="1:3" ht="15" customHeight="1" x14ac:dyDescent="0.4">
      <c r="A3" s="6"/>
      <c r="B3" s="7"/>
    </row>
    <row r="4" spans="1:3" ht="15" customHeight="1" thickBot="1" x14ac:dyDescent="0.3">
      <c r="A4" s="7"/>
      <c r="B4" s="7"/>
    </row>
    <row r="5" spans="1:3" ht="15" customHeight="1" thickBot="1" x14ac:dyDescent="0.45">
      <c r="A5" s="6"/>
      <c r="B5" s="143" t="s">
        <v>49</v>
      </c>
    </row>
    <row r="6" spans="1:3" ht="15" customHeight="1" x14ac:dyDescent="0.25">
      <c r="C6" s="33"/>
    </row>
    <row r="7" spans="1:3" ht="15" customHeight="1" x14ac:dyDescent="0.25">
      <c r="C7" s="144" t="s">
        <v>201</v>
      </c>
    </row>
    <row r="8" spans="1:3" x14ac:dyDescent="0.2">
      <c r="A8" s="8">
        <v>10</v>
      </c>
      <c r="B8" s="8" t="s">
        <v>239</v>
      </c>
      <c r="C8" s="13">
        <f>HLOOKUP($B$5,'5.4 Tableau de l''endettement'!$C$7:$BC$25,2,0)</f>
        <v>4657846.2799999993</v>
      </c>
    </row>
    <row r="9" spans="1:3" x14ac:dyDescent="0.2">
      <c r="C9" s="13"/>
    </row>
    <row r="10" spans="1:3" x14ac:dyDescent="0.2">
      <c r="A10" s="8">
        <v>20</v>
      </c>
      <c r="B10" s="8" t="s">
        <v>251</v>
      </c>
      <c r="C10" s="13">
        <f>HLOOKUP($B$5,'5.4 Tableau de l''endettement'!$C$7:$BC$25,4,0)</f>
        <v>19788217.459999997</v>
      </c>
    </row>
    <row r="11" spans="1:3" x14ac:dyDescent="0.2">
      <c r="C11" s="13"/>
    </row>
    <row r="12" spans="1:3" x14ac:dyDescent="0.2">
      <c r="A12" s="8">
        <v>200</v>
      </c>
      <c r="B12" s="8" t="s">
        <v>448</v>
      </c>
      <c r="C12" s="13">
        <f>HLOOKUP($B$5,'5.4 Tableau de l''endettement'!$C$7:$BC$25,6,0)</f>
        <v>1145974.3</v>
      </c>
    </row>
    <row r="13" spans="1:3" x14ac:dyDescent="0.2">
      <c r="C13" s="13"/>
    </row>
    <row r="14" spans="1:3" x14ac:dyDescent="0.2">
      <c r="A14" s="8">
        <v>201</v>
      </c>
      <c r="B14" s="8" t="s">
        <v>253</v>
      </c>
      <c r="C14" s="13">
        <f>HLOOKUP($B$5,'5.4 Tableau de l''endettement'!$C$7:$BC$25,8,0)</f>
        <v>1338920.1099999999</v>
      </c>
    </row>
    <row r="15" spans="1:3" x14ac:dyDescent="0.2">
      <c r="C15" s="13"/>
    </row>
    <row r="16" spans="1:3" x14ac:dyDescent="0.2">
      <c r="A16" s="8">
        <v>206</v>
      </c>
      <c r="B16" s="8" t="s">
        <v>256</v>
      </c>
      <c r="C16" s="13">
        <f>HLOOKUP($B$5,'5.4 Tableau de l''endettement'!$C$7:$BC$25,10,0)</f>
        <v>17035687</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19520581.41</v>
      </c>
    </row>
    <row r="22" spans="1:3" ht="15" x14ac:dyDescent="0.25">
      <c r="B22" s="89" t="s">
        <v>446</v>
      </c>
      <c r="C22" s="111">
        <f>HLOOKUP($B$5,'5.4 Tableau de l''endettement'!$C$7:$BC$25,16,0)</f>
        <v>11661.040268817205</v>
      </c>
    </row>
    <row r="23" spans="1:3" ht="15" x14ac:dyDescent="0.25">
      <c r="B23" s="7"/>
      <c r="C23" s="13"/>
    </row>
    <row r="24" spans="1:3" ht="15" x14ac:dyDescent="0.25">
      <c r="B24" s="140" t="s">
        <v>630</v>
      </c>
      <c r="C24" s="142">
        <f>HLOOKUP($B$5,'5.4 Tableau de l''endettement'!$C$7:$BC$25,18,0)</f>
        <v>15130371.179999998</v>
      </c>
    </row>
    <row r="25" spans="1:3" ht="15" x14ac:dyDescent="0.25">
      <c r="B25" s="89" t="s">
        <v>446</v>
      </c>
      <c r="C25" s="111">
        <f>HLOOKUP($B$5,'5.4 Tableau de l''endettement'!$C$7:$BC$25,19,0)</f>
        <v>9038.4535125448019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BD45" sqref="BD45"/>
      <selection pane="topRight" activeCell="BD45" sqref="BD45"/>
      <selection pane="bottomLeft" activeCell="BD45" sqref="BD45"/>
      <selection pane="bottomRight" activeCell="BD45" sqref="BD45"/>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828</v>
      </c>
      <c r="B2" s="7"/>
      <c r="C2" s="7"/>
      <c r="D2" s="7"/>
    </row>
    <row r="3" spans="1:61" x14ac:dyDescent="0.2">
      <c r="A3" s="8" t="s">
        <v>780</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727</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E186"/>
  <sheetViews>
    <sheetView workbookViewId="0">
      <selection activeCell="BD45" sqref="BD45"/>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832</v>
      </c>
      <c r="B2" s="7"/>
      <c r="C2" s="7"/>
      <c r="D2" s="7"/>
    </row>
    <row r="4" spans="1:5" ht="15" thickBot="1" x14ac:dyDescent="0.25"/>
    <row r="5" spans="1:5" ht="15.75" thickBot="1" x14ac:dyDescent="0.3">
      <c r="A5" s="8" t="s">
        <v>627</v>
      </c>
      <c r="D5" s="96" t="s">
        <v>71</v>
      </c>
    </row>
    <row r="8" spans="1:5" ht="20.25" x14ac:dyDescent="0.3">
      <c r="A8" s="145">
        <v>5</v>
      </c>
      <c r="B8" s="145"/>
      <c r="C8" s="145"/>
      <c r="D8" s="145" t="s">
        <v>192</v>
      </c>
      <c r="E8" s="150">
        <f>HLOOKUP($D$5,'6.1 Investissements'!$E$4:$BE$186,2,0)</f>
        <v>339692.69999999995</v>
      </c>
    </row>
    <row r="9" spans="1:5" ht="15" x14ac:dyDescent="0.25">
      <c r="A9" s="16"/>
      <c r="B9" s="89">
        <v>50</v>
      </c>
      <c r="C9" s="89"/>
      <c r="D9" s="89" t="s">
        <v>451</v>
      </c>
      <c r="E9" s="111">
        <f>SUM(E10:E17)</f>
        <v>339692.69999999995</v>
      </c>
    </row>
    <row r="10" spans="1:5" x14ac:dyDescent="0.2">
      <c r="C10" s="8">
        <v>500</v>
      </c>
      <c r="D10" s="8" t="s">
        <v>453</v>
      </c>
      <c r="E10" s="13">
        <f>HLOOKUP($D$5,'6.1 Investissements'!$E$4:$BE$186,4,0)</f>
        <v>0</v>
      </c>
    </row>
    <row r="11" spans="1:5" x14ac:dyDescent="0.2">
      <c r="C11" s="8">
        <v>501</v>
      </c>
      <c r="D11" s="8" t="s">
        <v>454</v>
      </c>
      <c r="E11" s="13">
        <f>HLOOKUP($D$5,'6.1 Investissements'!$E$4:$BE$186,5,0)</f>
        <v>142091</v>
      </c>
    </row>
    <row r="12" spans="1:5" x14ac:dyDescent="0.2">
      <c r="C12" s="8">
        <v>502</v>
      </c>
      <c r="D12" s="8" t="s">
        <v>455</v>
      </c>
      <c r="E12" s="13">
        <f>HLOOKUP($D$5,'6.1 Investissements'!$E$4:$BE$186,6,0)</f>
        <v>0</v>
      </c>
    </row>
    <row r="13" spans="1:5" x14ac:dyDescent="0.2">
      <c r="C13" s="8">
        <v>503</v>
      </c>
      <c r="D13" s="8" t="s">
        <v>456</v>
      </c>
      <c r="E13" s="13">
        <f>HLOOKUP($D$5,'6.1 Investissements'!$E$4:$BE$186,7,0)</f>
        <v>131156.85</v>
      </c>
    </row>
    <row r="14" spans="1:5" x14ac:dyDescent="0.2">
      <c r="C14" s="8">
        <v>504</v>
      </c>
      <c r="D14" s="8" t="s">
        <v>457</v>
      </c>
      <c r="E14" s="13">
        <f>HLOOKUP($D$5,'6.1 Investissements'!$E$4:$BE$186,8,0)</f>
        <v>66444.850000000006</v>
      </c>
    </row>
    <row r="15" spans="1:5" x14ac:dyDescent="0.2">
      <c r="C15" s="8">
        <v>505</v>
      </c>
      <c r="D15" s="8" t="s">
        <v>458</v>
      </c>
      <c r="E15" s="13">
        <f>HLOOKUP($D$5,'6.1 Investissements'!$E$4:$BE$186,9,0)</f>
        <v>0</v>
      </c>
    </row>
    <row r="16" spans="1:5" x14ac:dyDescent="0.2">
      <c r="C16" s="8">
        <v>506</v>
      </c>
      <c r="D16" s="8" t="s">
        <v>459</v>
      </c>
      <c r="E16" s="13">
        <f>HLOOKUP($D$5,'6.1 Investissements'!$E$4:$BE$186,10,0)</f>
        <v>0</v>
      </c>
    </row>
    <row r="17" spans="2:5" x14ac:dyDescent="0.2">
      <c r="C17" s="8">
        <v>509</v>
      </c>
      <c r="D17" s="8" t="s">
        <v>460</v>
      </c>
      <c r="E17" s="13">
        <f>HLOOKUP($D$5,'6.1 Investissements'!$E$4:$BE$186,11,0)</f>
        <v>0</v>
      </c>
    </row>
    <row r="19" spans="2:5" ht="15" x14ac:dyDescent="0.25">
      <c r="B19" s="89">
        <v>51</v>
      </c>
      <c r="C19" s="89"/>
      <c r="D19" s="89" t="s">
        <v>452</v>
      </c>
      <c r="E19" s="111">
        <f>SUM(E20:E27)</f>
        <v>0</v>
      </c>
    </row>
    <row r="20" spans="2:5" x14ac:dyDescent="0.2">
      <c r="C20" s="8">
        <v>510</v>
      </c>
      <c r="D20" s="8" t="s">
        <v>453</v>
      </c>
      <c r="E20" s="13">
        <f>HLOOKUP($D$5,'6.1 Investissements'!$E$4:$BE$186,14,0)</f>
        <v>0</v>
      </c>
    </row>
    <row r="21" spans="2:5" x14ac:dyDescent="0.2">
      <c r="C21" s="8">
        <v>511</v>
      </c>
      <c r="D21" s="8" t="s">
        <v>454</v>
      </c>
      <c r="E21" s="13">
        <f>HLOOKUP($D$5,'6.1 Investissements'!$E$4:$BE$186,15,0)</f>
        <v>0</v>
      </c>
    </row>
    <row r="22" spans="2:5" x14ac:dyDescent="0.2">
      <c r="C22" s="8">
        <v>512</v>
      </c>
      <c r="D22" s="8" t="s">
        <v>455</v>
      </c>
      <c r="E22" s="13">
        <f>HLOOKUP($D$5,'6.1 Investissements'!$E$4:$BE$186,16,0)</f>
        <v>0</v>
      </c>
    </row>
    <row r="23" spans="2:5" x14ac:dyDescent="0.2">
      <c r="C23" s="8">
        <v>513</v>
      </c>
      <c r="D23" s="8" t="s">
        <v>456</v>
      </c>
      <c r="E23" s="13">
        <f>HLOOKUP($D$5,'6.1 Investissements'!$E$4:$BE$186,17,0)</f>
        <v>0</v>
      </c>
    </row>
    <row r="24" spans="2:5" x14ac:dyDescent="0.2">
      <c r="C24" s="8">
        <v>514</v>
      </c>
      <c r="D24" s="8" t="s">
        <v>457</v>
      </c>
      <c r="E24" s="13">
        <f>HLOOKUP($D$5,'6.1 Investissements'!$E$4:$BE$186,18,0)</f>
        <v>0</v>
      </c>
    </row>
    <row r="25" spans="2:5" x14ac:dyDescent="0.2">
      <c r="C25" s="8">
        <v>515</v>
      </c>
      <c r="D25" s="8" t="s">
        <v>458</v>
      </c>
      <c r="E25" s="13">
        <f>HLOOKUP($D$5,'6.1 Investissements'!$E$4:$BE$186,19,0)</f>
        <v>0</v>
      </c>
    </row>
    <row r="26" spans="2:5" x14ac:dyDescent="0.2">
      <c r="C26" s="8">
        <v>516</v>
      </c>
      <c r="D26" s="8" t="s">
        <v>459</v>
      </c>
      <c r="E26" s="13">
        <f>HLOOKUP($D$5,'6.1 Investissements'!$E$4:$BE$186,20,0)</f>
        <v>0</v>
      </c>
    </row>
    <row r="27" spans="2:5" x14ac:dyDescent="0.2">
      <c r="C27" s="8">
        <v>519</v>
      </c>
      <c r="D27" s="8" t="s">
        <v>460</v>
      </c>
      <c r="E27" s="13">
        <f>HLOOKUP($D$5,'6.1 Investissements'!$E$4:$BE$186,21,0)</f>
        <v>0</v>
      </c>
    </row>
    <row r="29" spans="2:5" ht="15" x14ac:dyDescent="0.25">
      <c r="B29" s="89">
        <v>52</v>
      </c>
      <c r="C29" s="89"/>
      <c r="D29" s="89" t="s">
        <v>461</v>
      </c>
      <c r="E29" s="111">
        <f>SUM(E30:E32)</f>
        <v>0</v>
      </c>
    </row>
    <row r="30" spans="2:5" x14ac:dyDescent="0.2">
      <c r="C30" s="8">
        <v>520</v>
      </c>
      <c r="D30" s="8" t="s">
        <v>363</v>
      </c>
      <c r="E30" s="13">
        <f>HLOOKUP($D$5,'6.1 Investissements'!$E$4:$BE$186,24,0)</f>
        <v>0</v>
      </c>
    </row>
    <row r="31" spans="2:5" x14ac:dyDescent="0.2">
      <c r="C31" s="8">
        <v>521</v>
      </c>
      <c r="D31" s="8" t="s">
        <v>364</v>
      </c>
      <c r="E31" s="13">
        <f>HLOOKUP($D$5,'6.1 Investissements'!$E$4:$BE$186,25,0)</f>
        <v>0</v>
      </c>
    </row>
    <row r="32" spans="2:5" x14ac:dyDescent="0.2">
      <c r="C32" s="8">
        <v>529</v>
      </c>
      <c r="D32" s="8" t="s">
        <v>462</v>
      </c>
      <c r="E32" s="13">
        <f>HLOOKUP($D$5,'6.1 Investissements'!$E$4:$BE$186,26,0)</f>
        <v>0</v>
      </c>
    </row>
    <row r="34" spans="2:5" ht="15" x14ac:dyDescent="0.25">
      <c r="B34" s="89">
        <v>54</v>
      </c>
      <c r="C34" s="89"/>
      <c r="D34" s="89" t="s">
        <v>249</v>
      </c>
      <c r="E34" s="111">
        <f>SUM(E35:E43)</f>
        <v>0</v>
      </c>
    </row>
    <row r="35" spans="2:5" x14ac:dyDescent="0.2">
      <c r="C35" s="8">
        <v>540</v>
      </c>
      <c r="D35" s="8" t="s">
        <v>463</v>
      </c>
      <c r="E35" s="13">
        <f>HLOOKUP($D$5,'6.1 Investissements'!$E$4:$BE$186,29,0)</f>
        <v>0</v>
      </c>
    </row>
    <row r="36" spans="2:5" x14ac:dyDescent="0.2">
      <c r="C36" s="8">
        <v>541</v>
      </c>
      <c r="D36" s="8" t="s">
        <v>464</v>
      </c>
      <c r="E36" s="13">
        <f>HLOOKUP($D$5,'6.1 Investissements'!$E$4:$BE$186,30,0)</f>
        <v>0</v>
      </c>
    </row>
    <row r="37" spans="2:5" x14ac:dyDescent="0.2">
      <c r="C37" s="8">
        <v>542</v>
      </c>
      <c r="D37" s="8" t="s">
        <v>465</v>
      </c>
      <c r="E37" s="13">
        <f>HLOOKUP($D$5,'6.1 Investissements'!$E$4:$BE$186,31,0)</f>
        <v>0</v>
      </c>
    </row>
    <row r="38" spans="2:5" x14ac:dyDescent="0.2">
      <c r="C38" s="8">
        <v>543</v>
      </c>
      <c r="D38" s="8" t="s">
        <v>466</v>
      </c>
      <c r="E38" s="13">
        <f>HLOOKUP($D$5,'6.1 Investissements'!$E$4:$BE$186,32,0)</f>
        <v>0</v>
      </c>
    </row>
    <row r="39" spans="2:5" x14ac:dyDescent="0.2">
      <c r="C39" s="8">
        <v>544</v>
      </c>
      <c r="D39" s="8" t="s">
        <v>467</v>
      </c>
      <c r="E39" s="13">
        <f>HLOOKUP($D$5,'6.1 Investissements'!$E$4:$BE$186,33,0)</f>
        <v>0</v>
      </c>
    </row>
    <row r="40" spans="2:5" x14ac:dyDescent="0.2">
      <c r="C40" s="8">
        <v>545</v>
      </c>
      <c r="D40" s="8" t="s">
        <v>468</v>
      </c>
      <c r="E40" s="13">
        <f>HLOOKUP($D$5,'6.1 Investissements'!$E$4:$BE$186,34,0)</f>
        <v>0</v>
      </c>
    </row>
    <row r="41" spans="2:5" x14ac:dyDescent="0.2">
      <c r="C41" s="8">
        <v>546</v>
      </c>
      <c r="D41" s="8" t="s">
        <v>469</v>
      </c>
      <c r="E41" s="13">
        <f>HLOOKUP($D$5,'6.1 Investissements'!$E$4:$BE$186,35,0)</f>
        <v>0</v>
      </c>
    </row>
    <row r="42" spans="2:5" x14ac:dyDescent="0.2">
      <c r="C42" s="8">
        <v>547</v>
      </c>
      <c r="D42" s="8" t="s">
        <v>470</v>
      </c>
      <c r="E42" s="13">
        <f>HLOOKUP($D$5,'6.1 Investissements'!$E$4:$BE$186,36,0)</f>
        <v>0</v>
      </c>
    </row>
    <row r="43" spans="2:5" x14ac:dyDescent="0.2">
      <c r="C43" s="8">
        <v>548</v>
      </c>
      <c r="D43" s="8" t="s">
        <v>471</v>
      </c>
      <c r="E43" s="13">
        <f>HLOOKUP($D$5,'6.1 Investissements'!$E$4:$BE$186,37,0)</f>
        <v>0</v>
      </c>
    </row>
    <row r="45" spans="2:5" ht="15" x14ac:dyDescent="0.25">
      <c r="B45" s="89">
        <v>55</v>
      </c>
      <c r="C45" s="89"/>
      <c r="D45" s="89" t="s">
        <v>376</v>
      </c>
      <c r="E45" s="111">
        <f>SUM(E46:E54)</f>
        <v>0</v>
      </c>
    </row>
    <row r="46" spans="2:5" x14ac:dyDescent="0.2">
      <c r="C46" s="8">
        <v>550</v>
      </c>
      <c r="D46" s="8" t="s">
        <v>463</v>
      </c>
      <c r="E46" s="13">
        <f>HLOOKUP($D$5,'6.1 Investissements'!$E$4:$BE$186,40,0)</f>
        <v>0</v>
      </c>
    </row>
    <row r="47" spans="2:5" x14ac:dyDescent="0.2">
      <c r="C47" s="8">
        <v>551</v>
      </c>
      <c r="D47" s="8" t="s">
        <v>464</v>
      </c>
      <c r="E47" s="13">
        <f>HLOOKUP($D$5,'6.1 Investissements'!$E$4:$BE$186,41,0)</f>
        <v>0</v>
      </c>
    </row>
    <row r="48" spans="2:5" x14ac:dyDescent="0.2">
      <c r="C48" s="8">
        <v>552</v>
      </c>
      <c r="D48" s="8" t="s">
        <v>465</v>
      </c>
      <c r="E48" s="13">
        <f>HLOOKUP($D$5,'6.1 Investissements'!$E$4:$BE$186,42,0)</f>
        <v>0</v>
      </c>
    </row>
    <row r="49" spans="2:5" x14ac:dyDescent="0.2">
      <c r="C49" s="8">
        <v>553</v>
      </c>
      <c r="D49" s="8" t="s">
        <v>466</v>
      </c>
      <c r="E49" s="13">
        <f>HLOOKUP($D$5,'6.1 Investissements'!$E$4:$BE$186,43,0)</f>
        <v>0</v>
      </c>
    </row>
    <row r="50" spans="2:5" x14ac:dyDescent="0.2">
      <c r="C50" s="8">
        <v>554</v>
      </c>
      <c r="D50" s="8" t="s">
        <v>467</v>
      </c>
      <c r="E50" s="13">
        <f>HLOOKUP($D$5,'6.1 Investissements'!$E$4:$BE$186,44,0)</f>
        <v>0</v>
      </c>
    </row>
    <row r="51" spans="2:5" x14ac:dyDescent="0.2">
      <c r="C51" s="8">
        <v>555</v>
      </c>
      <c r="D51" s="8" t="s">
        <v>468</v>
      </c>
      <c r="E51" s="13">
        <f>HLOOKUP($D$5,'6.1 Investissements'!$E$4:$BE$186,45,0)</f>
        <v>0</v>
      </c>
    </row>
    <row r="52" spans="2:5" x14ac:dyDescent="0.2">
      <c r="C52" s="8">
        <v>556</v>
      </c>
      <c r="D52" s="8" t="s">
        <v>469</v>
      </c>
      <c r="E52" s="13">
        <f>HLOOKUP($D$5,'6.1 Investissements'!$E$4:$BE$186,46,0)</f>
        <v>0</v>
      </c>
    </row>
    <row r="53" spans="2:5" x14ac:dyDescent="0.2">
      <c r="C53" s="8">
        <v>557</v>
      </c>
      <c r="D53" s="8" t="s">
        <v>470</v>
      </c>
      <c r="E53" s="13">
        <f>HLOOKUP($D$5,'6.1 Investissements'!$E$4:$BE$186,47,0)</f>
        <v>0</v>
      </c>
    </row>
    <row r="54" spans="2:5" x14ac:dyDescent="0.2">
      <c r="C54" s="8">
        <v>558</v>
      </c>
      <c r="D54" s="8" t="s">
        <v>471</v>
      </c>
      <c r="E54" s="13">
        <f>HLOOKUP($D$5,'6.1 Investissements'!$E$4:$BE$186,48,0)</f>
        <v>0</v>
      </c>
    </row>
    <row r="56" spans="2:5" ht="15" x14ac:dyDescent="0.25">
      <c r="B56" s="89">
        <v>56</v>
      </c>
      <c r="C56" s="89"/>
      <c r="D56" s="89" t="s">
        <v>472</v>
      </c>
      <c r="E56" s="111">
        <f>SUM(E57:E65)</f>
        <v>0</v>
      </c>
    </row>
    <row r="57" spans="2:5" x14ac:dyDescent="0.2">
      <c r="C57" s="8">
        <v>560</v>
      </c>
      <c r="D57" s="8" t="s">
        <v>463</v>
      </c>
      <c r="E57" s="13">
        <f>HLOOKUP($D$5,'6.1 Investissements'!$E$4:$BE$186,51,0)</f>
        <v>0</v>
      </c>
    </row>
    <row r="58" spans="2:5" x14ac:dyDescent="0.2">
      <c r="C58" s="8">
        <v>561</v>
      </c>
      <c r="D58" s="8" t="s">
        <v>464</v>
      </c>
      <c r="E58" s="13">
        <f>HLOOKUP($D$5,'6.1 Investissements'!$E$4:$BE$186,52,0)</f>
        <v>0</v>
      </c>
    </row>
    <row r="59" spans="2:5" x14ac:dyDescent="0.2">
      <c r="C59" s="8">
        <v>562</v>
      </c>
      <c r="D59" s="8" t="s">
        <v>465</v>
      </c>
      <c r="E59" s="13">
        <f>HLOOKUP($D$5,'6.1 Investissements'!$E$4:$BE$186,53,0)</f>
        <v>0</v>
      </c>
    </row>
    <row r="60" spans="2:5" x14ac:dyDescent="0.2">
      <c r="C60" s="8">
        <v>563</v>
      </c>
      <c r="D60" s="8" t="s">
        <v>466</v>
      </c>
      <c r="E60" s="13">
        <f>HLOOKUP($D$5,'6.1 Investissements'!$E$4:$BE$186,54,0)</f>
        <v>0</v>
      </c>
    </row>
    <row r="61" spans="2:5" x14ac:dyDescent="0.2">
      <c r="C61" s="8">
        <v>564</v>
      </c>
      <c r="D61" s="8" t="s">
        <v>467</v>
      </c>
      <c r="E61" s="13">
        <f>HLOOKUP($D$5,'6.1 Investissements'!$E$4:$BE$186,55,0)</f>
        <v>0</v>
      </c>
    </row>
    <row r="62" spans="2:5" x14ac:dyDescent="0.2">
      <c r="C62" s="8">
        <v>565</v>
      </c>
      <c r="D62" s="8" t="s">
        <v>468</v>
      </c>
      <c r="E62" s="13">
        <f>HLOOKUP($D$5,'6.1 Investissements'!$E$4:$BE$186,56,0)</f>
        <v>0</v>
      </c>
    </row>
    <row r="63" spans="2:5" x14ac:dyDescent="0.2">
      <c r="C63" s="8">
        <v>566</v>
      </c>
      <c r="D63" s="8" t="s">
        <v>469</v>
      </c>
      <c r="E63" s="13">
        <f>HLOOKUP($D$5,'6.1 Investissements'!$E$4:$BE$186,57,0)</f>
        <v>0</v>
      </c>
    </row>
    <row r="64" spans="2:5" x14ac:dyDescent="0.2">
      <c r="C64" s="8">
        <v>567</v>
      </c>
      <c r="D64" s="8" t="s">
        <v>470</v>
      </c>
      <c r="E64" s="13">
        <f>HLOOKUP($D$5,'6.1 Investissements'!$E$4:$BE$186,58,0)</f>
        <v>0</v>
      </c>
    </row>
    <row r="65" spans="2:5" x14ac:dyDescent="0.2">
      <c r="C65" s="8">
        <v>568</v>
      </c>
      <c r="D65" s="8" t="s">
        <v>471</v>
      </c>
      <c r="E65" s="13">
        <f>HLOOKUP($D$5,'6.1 Investissements'!$E$4:$BE$186,59,0)</f>
        <v>0</v>
      </c>
    </row>
    <row r="67" spans="2:5" ht="15" x14ac:dyDescent="0.25">
      <c r="B67" s="89">
        <v>57</v>
      </c>
      <c r="C67" s="89"/>
      <c r="D67" s="89" t="s">
        <v>473</v>
      </c>
      <c r="E67" s="111">
        <f>SUM(E68:E76)</f>
        <v>0</v>
      </c>
    </row>
    <row r="68" spans="2:5" x14ac:dyDescent="0.2">
      <c r="C68" s="8">
        <v>570</v>
      </c>
      <c r="D68" s="8" t="s">
        <v>463</v>
      </c>
      <c r="E68" s="13">
        <f>HLOOKUP($D$5,'6.1 Investissements'!$E$4:$BE$186,62,0)</f>
        <v>0</v>
      </c>
    </row>
    <row r="69" spans="2:5" x14ac:dyDescent="0.2">
      <c r="C69" s="8">
        <v>571</v>
      </c>
      <c r="D69" s="8" t="s">
        <v>464</v>
      </c>
      <c r="E69" s="13">
        <f>HLOOKUP($D$5,'6.1 Investissements'!$E$4:$BE$186,63,0)</f>
        <v>0</v>
      </c>
    </row>
    <row r="70" spans="2:5" x14ac:dyDescent="0.2">
      <c r="C70" s="8">
        <v>572</v>
      </c>
      <c r="D70" s="8" t="s">
        <v>465</v>
      </c>
      <c r="E70" s="13">
        <f>HLOOKUP($D$5,'6.1 Investissements'!$E$4:$BE$186,64,0)</f>
        <v>0</v>
      </c>
    </row>
    <row r="71" spans="2:5" x14ac:dyDescent="0.2">
      <c r="C71" s="8">
        <v>573</v>
      </c>
      <c r="D71" s="8" t="s">
        <v>466</v>
      </c>
      <c r="E71" s="13">
        <f>HLOOKUP($D$5,'6.1 Investissements'!$E$4:$BE$186,65,0)</f>
        <v>0</v>
      </c>
    </row>
    <row r="72" spans="2:5" x14ac:dyDescent="0.2">
      <c r="C72" s="8">
        <v>574</v>
      </c>
      <c r="D72" s="8" t="s">
        <v>467</v>
      </c>
      <c r="E72" s="13">
        <f>HLOOKUP($D$5,'6.1 Investissements'!$E$4:$BE$186,66,0)</f>
        <v>0</v>
      </c>
    </row>
    <row r="73" spans="2:5" x14ac:dyDescent="0.2">
      <c r="C73" s="8">
        <v>575</v>
      </c>
      <c r="D73" s="8" t="s">
        <v>468</v>
      </c>
      <c r="E73" s="13">
        <f>HLOOKUP($D$5,'6.1 Investissements'!$E$4:$BE$186,67,0)</f>
        <v>0</v>
      </c>
    </row>
    <row r="74" spans="2:5" x14ac:dyDescent="0.2">
      <c r="C74" s="8">
        <v>576</v>
      </c>
      <c r="D74" s="8" t="s">
        <v>469</v>
      </c>
      <c r="E74" s="13">
        <f>HLOOKUP($D$5,'6.1 Investissements'!$E$4:$BE$186,68,0)</f>
        <v>0</v>
      </c>
    </row>
    <row r="75" spans="2:5" x14ac:dyDescent="0.2">
      <c r="C75" s="8">
        <v>577</v>
      </c>
      <c r="D75" s="8" t="s">
        <v>470</v>
      </c>
      <c r="E75" s="13">
        <f>HLOOKUP($D$5,'6.1 Investissements'!$E$4:$BE$186,69,0)</f>
        <v>0</v>
      </c>
    </row>
    <row r="76" spans="2:5" x14ac:dyDescent="0.2">
      <c r="C76" s="8">
        <v>578</v>
      </c>
      <c r="D76" s="8" t="s">
        <v>471</v>
      </c>
      <c r="E76" s="13">
        <f>HLOOKUP($D$5,'6.1 Investissements'!$E$4:$BE$186,70,0)</f>
        <v>0</v>
      </c>
    </row>
    <row r="78" spans="2:5" ht="15" x14ac:dyDescent="0.25">
      <c r="B78" s="89">
        <v>58</v>
      </c>
      <c r="C78" s="89"/>
      <c r="D78" s="89" t="s">
        <v>474</v>
      </c>
      <c r="E78" s="111">
        <f>SUM(E79:E84)</f>
        <v>0</v>
      </c>
    </row>
    <row r="79" spans="2:5" x14ac:dyDescent="0.2">
      <c r="C79" s="8">
        <v>580</v>
      </c>
      <c r="D79" s="8" t="s">
        <v>451</v>
      </c>
      <c r="E79" s="13">
        <f>HLOOKUP($D$5,'6.1 Investissements'!$E$4:$BE$186,73,0)</f>
        <v>0</v>
      </c>
    </row>
    <row r="80" spans="2:5" x14ac:dyDescent="0.2">
      <c r="C80" s="8">
        <v>582</v>
      </c>
      <c r="D80" s="8" t="s">
        <v>461</v>
      </c>
      <c r="E80" s="13">
        <f>HLOOKUP($D$5,'6.1 Investissements'!$E$4:$BE$186,74,0)</f>
        <v>0</v>
      </c>
    </row>
    <row r="81" spans="1:5" x14ac:dyDescent="0.2">
      <c r="C81" s="8">
        <v>584</v>
      </c>
      <c r="D81" s="8" t="s">
        <v>249</v>
      </c>
      <c r="E81" s="13">
        <f>HLOOKUP($D$5,'6.1 Investissements'!$E$4:$BE$186,75,0)</f>
        <v>0</v>
      </c>
    </row>
    <row r="82" spans="1:5" x14ac:dyDescent="0.2">
      <c r="C82" s="8">
        <v>585</v>
      </c>
      <c r="D82" s="8" t="s">
        <v>376</v>
      </c>
      <c r="E82" s="13">
        <f>HLOOKUP($D$5,'6.1 Investissements'!$E$4:$BE$186,76,0)</f>
        <v>0</v>
      </c>
    </row>
    <row r="83" spans="1:5" x14ac:dyDescent="0.2">
      <c r="C83" s="8">
        <v>586</v>
      </c>
      <c r="D83" s="8" t="s">
        <v>475</v>
      </c>
      <c r="E83" s="13">
        <f>HLOOKUP($D$5,'6.1 Investissements'!$E$4:$BE$186,77,0)</f>
        <v>0</v>
      </c>
    </row>
    <row r="84" spans="1:5" x14ac:dyDescent="0.2">
      <c r="C84" s="8">
        <v>589</v>
      </c>
      <c r="D84" s="8" t="s">
        <v>476</v>
      </c>
      <c r="E84" s="13">
        <f>HLOOKUP($D$5,'6.1 Investissements'!$E$4:$BE$186,78,0)</f>
        <v>0</v>
      </c>
    </row>
    <row r="86" spans="1:5" ht="15" x14ac:dyDescent="0.25">
      <c r="B86" s="89">
        <v>59</v>
      </c>
      <c r="C86" s="89"/>
      <c r="D86" s="89" t="s">
        <v>477</v>
      </c>
      <c r="E86" s="111">
        <f>SUM(E87)</f>
        <v>0</v>
      </c>
    </row>
    <row r="87" spans="1:5" x14ac:dyDescent="0.2">
      <c r="C87" s="8">
        <v>590</v>
      </c>
      <c r="D87" s="8" t="s">
        <v>477</v>
      </c>
      <c r="E87" s="13">
        <f>HLOOKUP($D$5,'6.1 Investissements'!$E$4:$BE$186,81,0)</f>
        <v>0</v>
      </c>
    </row>
    <row r="91" spans="1:5" ht="20.25" x14ac:dyDescent="0.3">
      <c r="A91" s="146">
        <v>6</v>
      </c>
      <c r="B91" s="146"/>
      <c r="C91" s="146"/>
      <c r="D91" s="146" t="s">
        <v>478</v>
      </c>
      <c r="E91" s="151">
        <f>HLOOKUP($D$5,'6.1 Investissements'!$E$4:$BE$186,85,0)</f>
        <v>0</v>
      </c>
    </row>
    <row r="92" spans="1:5" ht="15" x14ac:dyDescent="0.25">
      <c r="A92" s="7"/>
      <c r="B92" s="147">
        <v>60</v>
      </c>
      <c r="C92" s="147"/>
      <c r="D92" s="147" t="s">
        <v>479</v>
      </c>
      <c r="E92" s="148">
        <f>SUM(E93:E100)</f>
        <v>0</v>
      </c>
    </row>
    <row r="93" spans="1:5" x14ac:dyDescent="0.2">
      <c r="C93" s="8">
        <v>600</v>
      </c>
      <c r="D93" s="8" t="s">
        <v>453</v>
      </c>
      <c r="E93" s="13">
        <f>HLOOKUP($D$5,'6.1 Investissements'!$E$4:$BE$186,87,0)</f>
        <v>0</v>
      </c>
    </row>
    <row r="94" spans="1:5" x14ac:dyDescent="0.2">
      <c r="C94" s="8">
        <v>601</v>
      </c>
      <c r="D94" s="8" t="s">
        <v>454</v>
      </c>
      <c r="E94" s="13">
        <f>HLOOKUP($D$5,'6.1 Investissements'!$E$4:$BE$186,88,0)</f>
        <v>0</v>
      </c>
    </row>
    <row r="95" spans="1:5" x14ac:dyDescent="0.2">
      <c r="C95" s="8">
        <v>602</v>
      </c>
      <c r="D95" s="8" t="s">
        <v>455</v>
      </c>
      <c r="E95" s="13">
        <f>HLOOKUP($D$5,'6.1 Investissements'!$E$4:$BE$186,89,0)</f>
        <v>0</v>
      </c>
    </row>
    <row r="96" spans="1:5" x14ac:dyDescent="0.2">
      <c r="C96" s="8">
        <v>603</v>
      </c>
      <c r="D96" s="8" t="s">
        <v>456</v>
      </c>
      <c r="E96" s="13">
        <f>HLOOKUP($D$5,'6.1 Investissements'!$E$4:$BE$186,90,0)</f>
        <v>0</v>
      </c>
    </row>
    <row r="97" spans="2:5" x14ac:dyDescent="0.2">
      <c r="C97" s="8">
        <v>604</v>
      </c>
      <c r="D97" s="8" t="s">
        <v>457</v>
      </c>
      <c r="E97" s="13">
        <f>HLOOKUP($D$5,'6.1 Investissements'!$E$4:$BE$186,91,0)</f>
        <v>0</v>
      </c>
    </row>
    <row r="98" spans="2:5" x14ac:dyDescent="0.2">
      <c r="C98" s="8">
        <v>605</v>
      </c>
      <c r="D98" s="8" t="s">
        <v>458</v>
      </c>
      <c r="E98" s="13">
        <f>HLOOKUP($D$5,'6.1 Investissements'!$E$4:$BE$186,92,0)</f>
        <v>0</v>
      </c>
    </row>
    <row r="99" spans="2:5" x14ac:dyDescent="0.2">
      <c r="C99" s="8">
        <v>606</v>
      </c>
      <c r="D99" s="8" t="s">
        <v>459</v>
      </c>
      <c r="E99" s="13">
        <f>HLOOKUP($D$5,'6.1 Investissements'!$E$4:$BE$186,93,0)</f>
        <v>0</v>
      </c>
    </row>
    <row r="100" spans="2:5" x14ac:dyDescent="0.2">
      <c r="C100" s="8">
        <v>609</v>
      </c>
      <c r="D100" s="8" t="s">
        <v>460</v>
      </c>
      <c r="E100" s="13">
        <f>HLOOKUP($D$5,'6.1 Investissements'!$E$4:$BE$186,94,0)</f>
        <v>0</v>
      </c>
    </row>
    <row r="102" spans="2:5" ht="15" x14ac:dyDescent="0.25">
      <c r="B102" s="147">
        <v>61</v>
      </c>
      <c r="C102" s="147"/>
      <c r="D102" s="147" t="s">
        <v>480</v>
      </c>
      <c r="E102" s="148">
        <f>SUM(E103:E110)</f>
        <v>0</v>
      </c>
    </row>
    <row r="103" spans="2:5" x14ac:dyDescent="0.2">
      <c r="C103" s="8">
        <v>610</v>
      </c>
      <c r="D103" s="8" t="s">
        <v>453</v>
      </c>
      <c r="E103" s="13">
        <f>HLOOKUP($D$5,'6.1 Investissements'!$E$4:$BE$186,97,0)</f>
        <v>0</v>
      </c>
    </row>
    <row r="104" spans="2:5" x14ac:dyDescent="0.2">
      <c r="C104" s="8">
        <v>611</v>
      </c>
      <c r="D104" s="8" t="s">
        <v>454</v>
      </c>
      <c r="E104" s="13">
        <f>HLOOKUP($D$5,'6.1 Investissements'!$E$4:$BE$186,98,0)</f>
        <v>0</v>
      </c>
    </row>
    <row r="105" spans="2:5" x14ac:dyDescent="0.2">
      <c r="C105" s="8">
        <v>612</v>
      </c>
      <c r="D105" s="8" t="s">
        <v>455</v>
      </c>
      <c r="E105" s="13">
        <f>HLOOKUP($D$5,'6.1 Investissements'!$E$4:$BE$186,99,0)</f>
        <v>0</v>
      </c>
    </row>
    <row r="106" spans="2:5" x14ac:dyDescent="0.2">
      <c r="C106" s="8">
        <v>613</v>
      </c>
      <c r="D106" s="8" t="s">
        <v>456</v>
      </c>
      <c r="E106" s="13">
        <f>HLOOKUP($D$5,'6.1 Investissements'!$E$4:$BE$186,100,0)</f>
        <v>0</v>
      </c>
    </row>
    <row r="107" spans="2:5" x14ac:dyDescent="0.2">
      <c r="C107" s="8">
        <v>614</v>
      </c>
      <c r="D107" s="8" t="s">
        <v>457</v>
      </c>
      <c r="E107" s="13">
        <f>HLOOKUP($D$5,'6.1 Investissements'!$E$4:$BE$186,101,0)</f>
        <v>0</v>
      </c>
    </row>
    <row r="108" spans="2:5" x14ac:dyDescent="0.2">
      <c r="C108" s="8">
        <v>615</v>
      </c>
      <c r="D108" s="8" t="s">
        <v>458</v>
      </c>
      <c r="E108" s="13">
        <f>HLOOKUP($D$5,'6.1 Investissements'!$E$4:$BE$186,102,0)</f>
        <v>0</v>
      </c>
    </row>
    <row r="109" spans="2:5" x14ac:dyDescent="0.2">
      <c r="C109" s="8">
        <v>616</v>
      </c>
      <c r="D109" s="8" t="s">
        <v>459</v>
      </c>
      <c r="E109" s="13">
        <f>HLOOKUP($D$5,'6.1 Investissements'!$E$4:$BE$186,103,0)</f>
        <v>0</v>
      </c>
    </row>
    <row r="110" spans="2:5" x14ac:dyDescent="0.2">
      <c r="C110" s="8">
        <v>619</v>
      </c>
      <c r="D110" s="8" t="s">
        <v>460</v>
      </c>
      <c r="E110" s="13">
        <f>HLOOKUP($D$5,'6.1 Investissements'!$E$4:$BE$186,104,0)</f>
        <v>0</v>
      </c>
    </row>
    <row r="112" spans="2:5" ht="15" x14ac:dyDescent="0.25">
      <c r="B112" s="147">
        <v>62</v>
      </c>
      <c r="C112" s="147"/>
      <c r="D112" s="147" t="s">
        <v>481</v>
      </c>
      <c r="E112" s="148">
        <f>SUM(E113:E115)</f>
        <v>0</v>
      </c>
    </row>
    <row r="113" spans="2:5" x14ac:dyDescent="0.2">
      <c r="C113" s="8">
        <v>620</v>
      </c>
      <c r="D113" s="8" t="s">
        <v>363</v>
      </c>
      <c r="E113" s="13">
        <f>HLOOKUP($D$5,'6.1 Investissements'!$E$4:$BE$186,107,0)</f>
        <v>0</v>
      </c>
    </row>
    <row r="114" spans="2:5" x14ac:dyDescent="0.2">
      <c r="C114" s="8">
        <v>621</v>
      </c>
      <c r="D114" s="8" t="s">
        <v>364</v>
      </c>
      <c r="E114" s="13">
        <f>HLOOKUP($D$5,'6.1 Investissements'!$E$4:$BE$186,108,0)</f>
        <v>0</v>
      </c>
    </row>
    <row r="115" spans="2:5" x14ac:dyDescent="0.2">
      <c r="C115" s="8">
        <v>629</v>
      </c>
      <c r="D115" s="8" t="s">
        <v>462</v>
      </c>
      <c r="E115" s="13">
        <f>HLOOKUP($D$5,'6.1 Investissements'!$E$4:$BE$186,109,0)</f>
        <v>0</v>
      </c>
    </row>
    <row r="117" spans="2:5" ht="15" x14ac:dyDescent="0.25">
      <c r="B117" s="147">
        <v>63</v>
      </c>
      <c r="C117" s="147"/>
      <c r="D117" s="147" t="s">
        <v>482</v>
      </c>
      <c r="E117" s="148">
        <f>SUM(E118:E126)</f>
        <v>0</v>
      </c>
    </row>
    <row r="118" spans="2:5" x14ac:dyDescent="0.2">
      <c r="C118" s="8">
        <v>630</v>
      </c>
      <c r="D118" s="8" t="s">
        <v>463</v>
      </c>
      <c r="E118" s="13">
        <f>HLOOKUP($D$5,'6.1 Investissements'!$E$4:$BE$186,112,0)</f>
        <v>0</v>
      </c>
    </row>
    <row r="119" spans="2:5" x14ac:dyDescent="0.2">
      <c r="C119" s="8">
        <v>631</v>
      </c>
      <c r="D119" s="8" t="s">
        <v>464</v>
      </c>
      <c r="E119" s="13">
        <f>HLOOKUP($D$5,'6.1 Investissements'!$E$4:$BE$186,113,0)</f>
        <v>0</v>
      </c>
    </row>
    <row r="120" spans="2:5" x14ac:dyDescent="0.2">
      <c r="C120" s="8">
        <v>632</v>
      </c>
      <c r="D120" s="8" t="s">
        <v>465</v>
      </c>
      <c r="E120" s="13">
        <f>HLOOKUP($D$5,'6.1 Investissements'!$E$4:$BE$186,114,0)</f>
        <v>0</v>
      </c>
    </row>
    <row r="121" spans="2:5" x14ac:dyDescent="0.2">
      <c r="C121" s="8">
        <v>633</v>
      </c>
      <c r="D121" s="8" t="s">
        <v>466</v>
      </c>
      <c r="E121" s="13">
        <f>HLOOKUP($D$5,'6.1 Investissements'!$E$4:$BE$186,115,0)</f>
        <v>0</v>
      </c>
    </row>
    <row r="122" spans="2:5" x14ac:dyDescent="0.2">
      <c r="C122" s="8">
        <v>634</v>
      </c>
      <c r="D122" s="8" t="s">
        <v>467</v>
      </c>
      <c r="E122" s="13">
        <f>HLOOKUP($D$5,'6.1 Investissements'!$E$4:$BE$186,116,0)</f>
        <v>0</v>
      </c>
    </row>
    <row r="123" spans="2:5" x14ac:dyDescent="0.2">
      <c r="C123" s="8">
        <v>635</v>
      </c>
      <c r="D123" s="8" t="s">
        <v>468</v>
      </c>
      <c r="E123" s="13">
        <f>HLOOKUP($D$5,'6.1 Investissements'!$E$4:$BE$186,117,0)</f>
        <v>0</v>
      </c>
    </row>
    <row r="124" spans="2:5" x14ac:dyDescent="0.2">
      <c r="C124" s="8">
        <v>636</v>
      </c>
      <c r="D124" s="8" t="s">
        <v>469</v>
      </c>
      <c r="E124" s="13">
        <f>HLOOKUP($D$5,'6.1 Investissements'!$E$4:$BE$186,118,0)</f>
        <v>0</v>
      </c>
    </row>
    <row r="125" spans="2:5" x14ac:dyDescent="0.2">
      <c r="C125" s="8">
        <v>637</v>
      </c>
      <c r="D125" s="8" t="s">
        <v>470</v>
      </c>
      <c r="E125" s="13">
        <f>HLOOKUP($D$5,'6.1 Investissements'!$E$4:$BE$186,119,0)</f>
        <v>0</v>
      </c>
    </row>
    <row r="126" spans="2:5" x14ac:dyDescent="0.2">
      <c r="C126" s="8">
        <v>638</v>
      </c>
      <c r="D126" s="8" t="s">
        <v>471</v>
      </c>
      <c r="E126" s="13">
        <f>HLOOKUP($D$5,'6.1 Investissements'!$E$4:$BE$186,120,0)</f>
        <v>0</v>
      </c>
    </row>
    <row r="128" spans="2:5" ht="15" x14ac:dyDescent="0.25">
      <c r="B128" s="147">
        <v>64</v>
      </c>
      <c r="C128" s="147"/>
      <c r="D128" s="147" t="s">
        <v>483</v>
      </c>
      <c r="E128" s="148">
        <f>SUM(E129:E137)</f>
        <v>0</v>
      </c>
    </row>
    <row r="129" spans="2:5" x14ac:dyDescent="0.2">
      <c r="C129" s="8">
        <v>640</v>
      </c>
      <c r="D129" s="8" t="s">
        <v>463</v>
      </c>
      <c r="E129" s="13">
        <f>HLOOKUP($D$5,'6.1 Investissements'!$E$4:$BE$186,123,0)</f>
        <v>0</v>
      </c>
    </row>
    <row r="130" spans="2:5" x14ac:dyDescent="0.2">
      <c r="C130" s="8">
        <v>641</v>
      </c>
      <c r="D130" s="8" t="s">
        <v>464</v>
      </c>
      <c r="E130" s="13">
        <f>HLOOKUP($D$5,'6.1 Investissements'!$E$4:$BE$186,124,0)</f>
        <v>0</v>
      </c>
    </row>
    <row r="131" spans="2:5" x14ac:dyDescent="0.2">
      <c r="C131" s="8">
        <v>642</v>
      </c>
      <c r="D131" s="8" t="s">
        <v>465</v>
      </c>
      <c r="E131" s="13">
        <f>HLOOKUP($D$5,'6.1 Investissements'!$E$4:$BE$186,125,0)</f>
        <v>0</v>
      </c>
    </row>
    <row r="132" spans="2:5" x14ac:dyDescent="0.2">
      <c r="C132" s="8">
        <v>643</v>
      </c>
      <c r="D132" s="8" t="s">
        <v>466</v>
      </c>
      <c r="E132" s="13">
        <f>HLOOKUP($D$5,'6.1 Investissements'!$E$4:$BE$186,126,0)</f>
        <v>0</v>
      </c>
    </row>
    <row r="133" spans="2:5" x14ac:dyDescent="0.2">
      <c r="C133" s="8">
        <v>644</v>
      </c>
      <c r="D133" s="8" t="s">
        <v>467</v>
      </c>
      <c r="E133" s="13">
        <f>HLOOKUP($D$5,'6.1 Investissements'!$E$4:$BE$186,127,0)</f>
        <v>0</v>
      </c>
    </row>
    <row r="134" spans="2:5" x14ac:dyDescent="0.2">
      <c r="C134" s="8">
        <v>645</v>
      </c>
      <c r="D134" s="8" t="s">
        <v>468</v>
      </c>
      <c r="E134" s="13">
        <f>HLOOKUP($D$5,'6.1 Investissements'!$E$4:$BE$186,128,0)</f>
        <v>0</v>
      </c>
    </row>
    <row r="135" spans="2:5" x14ac:dyDescent="0.2">
      <c r="C135" s="8">
        <v>646</v>
      </c>
      <c r="D135" s="8" t="s">
        <v>469</v>
      </c>
      <c r="E135" s="13">
        <f>HLOOKUP($D$5,'6.1 Investissements'!$E$4:$BE$186,129,0)</f>
        <v>0</v>
      </c>
    </row>
    <row r="136" spans="2:5" x14ac:dyDescent="0.2">
      <c r="C136" s="8">
        <v>647</v>
      </c>
      <c r="D136" s="8" t="s">
        <v>470</v>
      </c>
      <c r="E136" s="13">
        <f>HLOOKUP($D$5,'6.1 Investissements'!$E$4:$BE$186,130,0)</f>
        <v>0</v>
      </c>
    </row>
    <row r="137" spans="2:5" x14ac:dyDescent="0.2">
      <c r="C137" s="8">
        <v>648</v>
      </c>
      <c r="D137" s="8" t="s">
        <v>471</v>
      </c>
      <c r="E137" s="13">
        <f>HLOOKUP($D$5,'6.1 Investissements'!$E$4:$BE$186,131,0)</f>
        <v>0</v>
      </c>
    </row>
    <row r="139" spans="2:5" ht="15" x14ac:dyDescent="0.25">
      <c r="B139" s="147">
        <v>65</v>
      </c>
      <c r="C139" s="147"/>
      <c r="D139" s="147" t="s">
        <v>484</v>
      </c>
      <c r="E139" s="148">
        <f>SUM(E140:E148)</f>
        <v>0</v>
      </c>
    </row>
    <row r="140" spans="2:5" x14ac:dyDescent="0.2">
      <c r="C140" s="8">
        <v>650</v>
      </c>
      <c r="D140" s="8" t="s">
        <v>463</v>
      </c>
      <c r="E140" s="13">
        <f>HLOOKUP($D$5,'6.1 Investissements'!$E$4:$BE$186,134,0)</f>
        <v>0</v>
      </c>
    </row>
    <row r="141" spans="2:5" x14ac:dyDescent="0.2">
      <c r="C141" s="8">
        <v>651</v>
      </c>
      <c r="D141" s="8" t="s">
        <v>464</v>
      </c>
      <c r="E141" s="13">
        <f>HLOOKUP($D$5,'6.1 Investissements'!$E$4:$BE$186,135,0)</f>
        <v>0</v>
      </c>
    </row>
    <row r="142" spans="2:5" x14ac:dyDescent="0.2">
      <c r="C142" s="8">
        <v>652</v>
      </c>
      <c r="D142" s="8" t="s">
        <v>465</v>
      </c>
      <c r="E142" s="13">
        <f>HLOOKUP($D$5,'6.1 Investissements'!$E$4:$BE$186,136,0)</f>
        <v>0</v>
      </c>
    </row>
    <row r="143" spans="2:5" x14ac:dyDescent="0.2">
      <c r="C143" s="8">
        <v>653</v>
      </c>
      <c r="D143" s="8" t="s">
        <v>466</v>
      </c>
      <c r="E143" s="13">
        <f>HLOOKUP($D$5,'6.1 Investissements'!$E$4:$BE$186,137,0)</f>
        <v>0</v>
      </c>
    </row>
    <row r="144" spans="2:5" x14ac:dyDescent="0.2">
      <c r="C144" s="8">
        <v>654</v>
      </c>
      <c r="D144" s="8" t="s">
        <v>467</v>
      </c>
      <c r="E144" s="13">
        <f>HLOOKUP($D$5,'6.1 Investissements'!$E$4:$BE$186,138,0)</f>
        <v>0</v>
      </c>
    </row>
    <row r="145" spans="2:5" x14ac:dyDescent="0.2">
      <c r="C145" s="8">
        <v>655</v>
      </c>
      <c r="D145" s="8" t="s">
        <v>468</v>
      </c>
      <c r="E145" s="13">
        <f>HLOOKUP($D$5,'6.1 Investissements'!$E$4:$BE$186,139,0)</f>
        <v>0</v>
      </c>
    </row>
    <row r="146" spans="2:5" x14ac:dyDescent="0.2">
      <c r="C146" s="8">
        <v>656</v>
      </c>
      <c r="D146" s="8" t="s">
        <v>469</v>
      </c>
      <c r="E146" s="13">
        <f>HLOOKUP($D$5,'6.1 Investissements'!$E$4:$BE$186,140,0)</f>
        <v>0</v>
      </c>
    </row>
    <row r="147" spans="2:5" x14ac:dyDescent="0.2">
      <c r="C147" s="8">
        <v>657</v>
      </c>
      <c r="D147" s="8" t="s">
        <v>470</v>
      </c>
      <c r="E147" s="13">
        <f>HLOOKUP($D$5,'6.1 Investissements'!$E$4:$BE$186,141,0)</f>
        <v>0</v>
      </c>
    </row>
    <row r="148" spans="2:5" x14ac:dyDescent="0.2">
      <c r="C148" s="8">
        <v>658</v>
      </c>
      <c r="D148" s="8" t="s">
        <v>471</v>
      </c>
      <c r="E148" s="13">
        <f>HLOOKUP($D$5,'6.1 Investissements'!$E$4:$BE$186,142,0)</f>
        <v>0</v>
      </c>
    </row>
    <row r="150" spans="2:5" ht="15" x14ac:dyDescent="0.25">
      <c r="B150" s="147">
        <v>66</v>
      </c>
      <c r="C150" s="147"/>
      <c r="D150" s="147" t="s">
        <v>485</v>
      </c>
      <c r="E150" s="148">
        <f>SUM(E151:E159)</f>
        <v>0</v>
      </c>
    </row>
    <row r="151" spans="2:5" x14ac:dyDescent="0.2">
      <c r="C151" s="8">
        <v>660</v>
      </c>
      <c r="D151" s="8" t="s">
        <v>463</v>
      </c>
      <c r="E151" s="13">
        <f>HLOOKUP($D$5,'6.1 Investissements'!$E$4:$BE$186,145,0)</f>
        <v>0</v>
      </c>
    </row>
    <row r="152" spans="2:5" x14ac:dyDescent="0.2">
      <c r="C152" s="8">
        <v>661</v>
      </c>
      <c r="D152" s="8" t="s">
        <v>464</v>
      </c>
      <c r="E152" s="13">
        <f>HLOOKUP($D$5,'6.1 Investissements'!$E$4:$BE$186,146,0)</f>
        <v>0</v>
      </c>
    </row>
    <row r="153" spans="2:5" x14ac:dyDescent="0.2">
      <c r="C153" s="8">
        <v>662</v>
      </c>
      <c r="D153" s="8" t="s">
        <v>465</v>
      </c>
      <c r="E153" s="13">
        <f>HLOOKUP($D$5,'6.1 Investissements'!$E$4:$BE$186,147,0)</f>
        <v>0</v>
      </c>
    </row>
    <row r="154" spans="2:5" x14ac:dyDescent="0.2">
      <c r="C154" s="8">
        <v>663</v>
      </c>
      <c r="D154" s="8" t="s">
        <v>466</v>
      </c>
      <c r="E154" s="13">
        <f>HLOOKUP($D$5,'6.1 Investissements'!$E$4:$BE$186,148,0)</f>
        <v>0</v>
      </c>
    </row>
    <row r="155" spans="2:5" x14ac:dyDescent="0.2">
      <c r="C155" s="8">
        <v>664</v>
      </c>
      <c r="D155" s="8" t="s">
        <v>467</v>
      </c>
      <c r="E155" s="13">
        <f>HLOOKUP($D$5,'6.1 Investissements'!$E$4:$BE$186,149,0)</f>
        <v>0</v>
      </c>
    </row>
    <row r="156" spans="2:5" x14ac:dyDescent="0.2">
      <c r="C156" s="8">
        <v>665</v>
      </c>
      <c r="D156" s="8" t="s">
        <v>468</v>
      </c>
      <c r="E156" s="13">
        <f>HLOOKUP($D$5,'6.1 Investissements'!$E$4:$BE$186,150,0)</f>
        <v>0</v>
      </c>
    </row>
    <row r="157" spans="2:5" x14ac:dyDescent="0.2">
      <c r="C157" s="8">
        <v>666</v>
      </c>
      <c r="D157" s="8" t="s">
        <v>469</v>
      </c>
      <c r="E157" s="13">
        <f>HLOOKUP($D$5,'6.1 Investissements'!$E$4:$BE$186,151,0)</f>
        <v>0</v>
      </c>
    </row>
    <row r="158" spans="2:5" x14ac:dyDescent="0.2">
      <c r="C158" s="8">
        <v>667</v>
      </c>
      <c r="D158" s="8" t="s">
        <v>470</v>
      </c>
      <c r="E158" s="13">
        <f>HLOOKUP($D$5,'6.1 Investissements'!$E$4:$BE$186,152,0)</f>
        <v>0</v>
      </c>
    </row>
    <row r="159" spans="2:5" x14ac:dyDescent="0.2">
      <c r="C159" s="8">
        <v>668</v>
      </c>
      <c r="D159" s="8" t="s">
        <v>471</v>
      </c>
      <c r="E159" s="13">
        <f>HLOOKUP($D$5,'6.1 Investissements'!$E$4:$BE$186,153,0)</f>
        <v>0</v>
      </c>
    </row>
    <row r="161" spans="2:5" ht="15" x14ac:dyDescent="0.25">
      <c r="B161" s="147">
        <v>67</v>
      </c>
      <c r="C161" s="147"/>
      <c r="D161" s="147" t="s">
        <v>473</v>
      </c>
      <c r="E161" s="148">
        <f>SUM(E162:E170)</f>
        <v>0</v>
      </c>
    </row>
    <row r="162" spans="2:5" x14ac:dyDescent="0.2">
      <c r="C162" s="8">
        <v>670</v>
      </c>
      <c r="D162" s="8" t="s">
        <v>463</v>
      </c>
      <c r="E162" s="13">
        <f>HLOOKUP($D$5,'6.1 Investissements'!$E$4:$BE$186,156,0)</f>
        <v>0</v>
      </c>
    </row>
    <row r="163" spans="2:5" x14ac:dyDescent="0.2">
      <c r="C163" s="8">
        <v>671</v>
      </c>
      <c r="D163" s="8" t="s">
        <v>464</v>
      </c>
      <c r="E163" s="13">
        <f>HLOOKUP($D$5,'6.1 Investissements'!$E$4:$BE$186,157,0)</f>
        <v>0</v>
      </c>
    </row>
    <row r="164" spans="2:5" x14ac:dyDescent="0.2">
      <c r="C164" s="8">
        <v>672</v>
      </c>
      <c r="D164" s="8" t="s">
        <v>465</v>
      </c>
      <c r="E164" s="13">
        <f>HLOOKUP($D$5,'6.1 Investissements'!$E$4:$BE$186,158,0)</f>
        <v>0</v>
      </c>
    </row>
    <row r="165" spans="2:5" x14ac:dyDescent="0.2">
      <c r="C165" s="8">
        <v>673</v>
      </c>
      <c r="D165" s="8" t="s">
        <v>466</v>
      </c>
      <c r="E165" s="13">
        <f>HLOOKUP($D$5,'6.1 Investissements'!$E$4:$BE$186,159,0)</f>
        <v>0</v>
      </c>
    </row>
    <row r="166" spans="2:5" x14ac:dyDescent="0.2">
      <c r="C166" s="8">
        <v>674</v>
      </c>
      <c r="D166" s="8" t="s">
        <v>467</v>
      </c>
      <c r="E166" s="13">
        <f>HLOOKUP($D$5,'6.1 Investissements'!$E$4:$BE$186,160,0)</f>
        <v>0</v>
      </c>
    </row>
    <row r="167" spans="2:5" x14ac:dyDescent="0.2">
      <c r="C167" s="8">
        <v>675</v>
      </c>
      <c r="D167" s="8" t="s">
        <v>468</v>
      </c>
      <c r="E167" s="13">
        <f>HLOOKUP($D$5,'6.1 Investissements'!$E$4:$BE$186,161,0)</f>
        <v>0</v>
      </c>
    </row>
    <row r="168" spans="2:5" x14ac:dyDescent="0.2">
      <c r="C168" s="8">
        <v>676</v>
      </c>
      <c r="D168" s="8" t="s">
        <v>469</v>
      </c>
      <c r="E168" s="13">
        <f>HLOOKUP($D$5,'6.1 Investissements'!$E$4:$BE$186,162,0)</f>
        <v>0</v>
      </c>
    </row>
    <row r="169" spans="2:5" x14ac:dyDescent="0.2">
      <c r="C169" s="8">
        <v>677</v>
      </c>
      <c r="D169" s="8" t="s">
        <v>470</v>
      </c>
      <c r="E169" s="13">
        <f>HLOOKUP($D$5,'6.1 Investissements'!$E$4:$BE$186,163,0)</f>
        <v>0</v>
      </c>
    </row>
    <row r="170" spans="2:5" x14ac:dyDescent="0.2">
      <c r="C170" s="8">
        <v>678</v>
      </c>
      <c r="D170" s="8" t="s">
        <v>471</v>
      </c>
      <c r="E170" s="13">
        <f>HLOOKUP($D$5,'6.1 Investissements'!$E$4:$BE$186,164,0)</f>
        <v>0</v>
      </c>
    </row>
    <row r="172" spans="2:5" ht="15" x14ac:dyDescent="0.25">
      <c r="B172" s="147">
        <v>68</v>
      </c>
      <c r="C172" s="147"/>
      <c r="D172" s="147" t="s">
        <v>486</v>
      </c>
      <c r="E172" s="152">
        <f>SUM(E173:E179)</f>
        <v>0</v>
      </c>
    </row>
    <row r="173" spans="2:5" x14ac:dyDescent="0.2">
      <c r="C173" s="8">
        <v>680</v>
      </c>
      <c r="D173" s="8" t="s">
        <v>451</v>
      </c>
      <c r="E173" s="13">
        <f>HLOOKUP($D$5,'6.1 Investissements'!$E$4:$BE$186,167,0)</f>
        <v>0</v>
      </c>
    </row>
    <row r="174" spans="2:5" x14ac:dyDescent="0.2">
      <c r="C174" s="8">
        <v>682</v>
      </c>
      <c r="D174" s="8" t="s">
        <v>461</v>
      </c>
      <c r="E174" s="13">
        <f>HLOOKUP($D$5,'6.1 Investissements'!$E$4:$BE$186,168,0)</f>
        <v>0</v>
      </c>
    </row>
    <row r="175" spans="2:5" x14ac:dyDescent="0.2">
      <c r="C175" s="8">
        <v>683</v>
      </c>
      <c r="D175" s="8" t="s">
        <v>487</v>
      </c>
      <c r="E175" s="13">
        <f>HLOOKUP($D$5,'6.1 Investissements'!$E$4:$BE$186,169,0)</f>
        <v>0</v>
      </c>
    </row>
    <row r="176" spans="2:5" x14ac:dyDescent="0.2">
      <c r="C176" s="8">
        <v>684</v>
      </c>
      <c r="D176" s="8" t="s">
        <v>249</v>
      </c>
      <c r="E176" s="13">
        <f>HLOOKUP($D$5,'6.1 Investissements'!$E$4:$BE$186,170,0)</f>
        <v>0</v>
      </c>
    </row>
    <row r="177" spans="2:5" x14ac:dyDescent="0.2">
      <c r="C177" s="8">
        <v>685</v>
      </c>
      <c r="D177" s="8" t="s">
        <v>376</v>
      </c>
      <c r="E177" s="13">
        <f>HLOOKUP($D$5,'6.1 Investissements'!$E$4:$BE$186,171,0)</f>
        <v>0</v>
      </c>
    </row>
    <row r="178" spans="2:5" x14ac:dyDescent="0.2">
      <c r="C178" s="8">
        <v>686</v>
      </c>
      <c r="D178" s="8" t="s">
        <v>488</v>
      </c>
      <c r="E178" s="13">
        <f>HLOOKUP($D$5,'6.1 Investissements'!$E$4:$BE$186,172,0)</f>
        <v>0</v>
      </c>
    </row>
    <row r="179" spans="2:5" x14ac:dyDescent="0.2">
      <c r="C179" s="8">
        <v>689</v>
      </c>
      <c r="D179" s="8" t="s">
        <v>489</v>
      </c>
      <c r="E179" s="13">
        <f>HLOOKUP($D$5,'6.1 Investissements'!$E$4:$BE$186,173,0)</f>
        <v>0</v>
      </c>
    </row>
    <row r="181" spans="2:5" ht="15" x14ac:dyDescent="0.25">
      <c r="B181" s="147">
        <v>69</v>
      </c>
      <c r="C181" s="147"/>
      <c r="D181" s="147" t="s">
        <v>490</v>
      </c>
      <c r="E181" s="148">
        <f>SUM(E182)</f>
        <v>339692.7</v>
      </c>
    </row>
    <row r="182" spans="2:5" x14ac:dyDescent="0.2">
      <c r="C182" s="8">
        <v>690</v>
      </c>
      <c r="D182" s="8" t="s">
        <v>490</v>
      </c>
      <c r="E182" s="13">
        <f>HLOOKUP($D$5,'6.1 Investissements'!$E$4:$BE$186,176,0)</f>
        <v>339692.7</v>
      </c>
    </row>
    <row r="186" spans="2:5" ht="18" x14ac:dyDescent="0.25">
      <c r="D186" s="153" t="s">
        <v>220</v>
      </c>
      <c r="E186" s="154">
        <f>HLOOKUP($D$5,'6.1 Investissements'!$E$4:$BE$186,180,0)</f>
        <v>339692.69999999995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BD45" sqref="BD45"/>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16" t="s">
        <v>635</v>
      </c>
      <c r="B14" s="217"/>
      <c r="C14" s="217"/>
      <c r="D14" s="217"/>
      <c r="E14" s="217"/>
      <c r="F14" s="217"/>
      <c r="G14" s="217"/>
      <c r="H14" s="218"/>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16" t="s">
        <v>647</v>
      </c>
      <c r="B24" s="217"/>
      <c r="C24" s="217"/>
      <c r="D24" s="217"/>
      <c r="E24" s="217"/>
      <c r="F24" s="217"/>
      <c r="G24" s="217"/>
      <c r="H24" s="218"/>
    </row>
    <row r="26" spans="1:8" x14ac:dyDescent="0.2">
      <c r="A26" s="70"/>
      <c r="B26" s="70" t="s">
        <v>648</v>
      </c>
      <c r="C26" s="70" t="s">
        <v>842</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16" t="s">
        <v>654</v>
      </c>
      <c r="B32" s="217"/>
      <c r="C32" s="217"/>
      <c r="D32" s="217"/>
      <c r="E32" s="217"/>
      <c r="F32" s="217"/>
      <c r="G32" s="217"/>
      <c r="H32" s="218"/>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843</v>
      </c>
      <c r="D38" s="8" t="s">
        <v>663</v>
      </c>
    </row>
    <row r="40" spans="1:8" ht="15" x14ac:dyDescent="0.25">
      <c r="A40" s="7" t="s">
        <v>566</v>
      </c>
    </row>
    <row r="42" spans="1:8" ht="90" customHeight="1" x14ac:dyDescent="0.2">
      <c r="A42" s="216" t="s">
        <v>664</v>
      </c>
      <c r="B42" s="217"/>
      <c r="C42" s="217"/>
      <c r="D42" s="217"/>
      <c r="E42" s="217"/>
      <c r="F42" s="217"/>
      <c r="G42" s="217"/>
      <c r="H42" s="218"/>
    </row>
    <row r="44" spans="1:8" x14ac:dyDescent="0.2">
      <c r="A44" s="70"/>
      <c r="B44" s="70" t="s">
        <v>648</v>
      </c>
    </row>
    <row r="45" spans="1:8" x14ac:dyDescent="0.2">
      <c r="C45" s="70" t="s">
        <v>844</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16" t="s">
        <v>674</v>
      </c>
      <c r="B53" s="217"/>
      <c r="C53" s="217"/>
      <c r="D53" s="217"/>
      <c r="E53" s="217"/>
      <c r="F53" s="217"/>
      <c r="G53" s="217"/>
      <c r="H53" s="218"/>
    </row>
    <row r="55" spans="1:8" x14ac:dyDescent="0.2">
      <c r="A55" s="70"/>
      <c r="B55" s="70" t="s">
        <v>648</v>
      </c>
      <c r="C55" s="70" t="s">
        <v>845</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16" t="s">
        <v>682</v>
      </c>
      <c r="B62" s="217"/>
      <c r="C62" s="217"/>
      <c r="D62" s="217"/>
      <c r="E62" s="217"/>
      <c r="F62" s="217"/>
      <c r="G62" s="217"/>
      <c r="H62" s="218"/>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16" t="s">
        <v>691</v>
      </c>
      <c r="B71" s="217"/>
      <c r="C71" s="217"/>
      <c r="D71" s="217"/>
      <c r="E71" s="217"/>
      <c r="F71" s="217"/>
      <c r="G71" s="217"/>
      <c r="H71" s="218"/>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16" t="s">
        <v>703</v>
      </c>
      <c r="B81" s="217"/>
      <c r="C81" s="217"/>
      <c r="D81" s="217"/>
      <c r="E81" s="217"/>
      <c r="F81" s="217"/>
      <c r="G81" s="217"/>
      <c r="H81" s="218"/>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16" t="s">
        <v>710</v>
      </c>
      <c r="B89" s="217"/>
      <c r="C89" s="217"/>
      <c r="D89" s="217"/>
      <c r="E89" s="217"/>
      <c r="F89" s="217"/>
      <c r="G89" s="217"/>
      <c r="H89" s="218"/>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16" t="s">
        <v>718</v>
      </c>
      <c r="B98" s="217"/>
      <c r="C98" s="217"/>
      <c r="D98" s="217"/>
      <c r="E98" s="217"/>
      <c r="F98" s="217"/>
      <c r="G98" s="217"/>
      <c r="H98" s="218"/>
    </row>
    <row r="100" spans="1:8" x14ac:dyDescent="0.2">
      <c r="A100" s="70"/>
      <c r="B100" s="70" t="s">
        <v>648</v>
      </c>
      <c r="C100" s="70" t="s">
        <v>846</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BD45" sqref="BD45"/>
      <selection pane="topRight" activeCell="BD45" sqref="BD45"/>
      <selection pane="bottomLeft" activeCell="BD45" sqref="BD45"/>
      <selection pane="bottomRight" activeCell="BD45" sqref="BD45"/>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847</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854</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855</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J44"/>
  <sheetViews>
    <sheetView workbookViewId="0">
      <pane xSplit="4" ySplit="5" topLeftCell="AU18" activePane="bottomRight" state="frozen"/>
      <selection activeCell="BD45" sqref="BD45"/>
      <selection pane="topRight" activeCell="BD45" sqref="BD45"/>
      <selection pane="bottomLeft" activeCell="BD45" sqref="BD45"/>
      <selection pane="bottomRight" activeCell="BD45" sqref="BD45"/>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2" spans="1:62" ht="18" x14ac:dyDescent="0.25">
      <c r="A2" s="219" t="s">
        <v>491</v>
      </c>
      <c r="B2" s="219"/>
      <c r="C2" s="219"/>
      <c r="D2" s="219"/>
    </row>
    <row r="4" spans="1:62" ht="15" x14ac:dyDescent="0.25">
      <c r="A4" s="7" t="s">
        <v>492</v>
      </c>
      <c r="B4" s="158"/>
      <c r="C4" s="33" t="s">
        <v>493</v>
      </c>
      <c r="D4" s="33" t="s">
        <v>494</v>
      </c>
      <c r="E4" s="9">
        <f>'4.1 Comptes 2022 natures'!E3</f>
        <v>951</v>
      </c>
      <c r="F4" s="9">
        <f>'4.1 Comptes 2022 natures'!F3</f>
        <v>258</v>
      </c>
      <c r="G4" s="9">
        <f>'4.1 Comptes 2022 natures'!G3</f>
        <v>471</v>
      </c>
      <c r="H4" s="9">
        <f>'4.1 Comptes 2022 natures'!H3</f>
        <v>441</v>
      </c>
      <c r="I4" s="9">
        <f>'4.1 Comptes 2022 natures'!I3</f>
        <v>3686</v>
      </c>
      <c r="J4" s="9">
        <f>'4.1 Comptes 2022 natures'!J3</f>
        <v>3313</v>
      </c>
      <c r="K4" s="9">
        <f>'4.1 Comptes 2022 natures'!K3</f>
        <v>2654</v>
      </c>
      <c r="L4" s="9">
        <f>'4.1 Comptes 2022 natures'!L3</f>
        <v>12636</v>
      </c>
      <c r="M4" s="9">
        <f>'4.1 Comptes 2022 natures'!M3</f>
        <v>1360</v>
      </c>
      <c r="N4" s="9">
        <f>'4.1 Comptes 2022 natures'!N3</f>
        <v>112</v>
      </c>
      <c r="O4" s="9">
        <f>'4.1 Comptes 2022 natures'!O3</f>
        <v>7319</v>
      </c>
      <c r="P4" s="9">
        <f>'4.1 Comptes 2022 natures'!P3</f>
        <v>522</v>
      </c>
      <c r="Q4" s="9">
        <f>'4.1 Comptes 2022 natures'!Q3</f>
        <v>106</v>
      </c>
      <c r="R4" s="9">
        <f>'4.1 Comptes 2022 natures'!R3</f>
        <v>425</v>
      </c>
      <c r="S4" s="9">
        <f>'4.1 Comptes 2022 natures'!S3</f>
        <v>350</v>
      </c>
      <c r="T4" s="9">
        <f>'4.1 Comptes 2022 natures'!T3</f>
        <v>733</v>
      </c>
      <c r="U4" s="9">
        <f>'4.1 Comptes 2022 natures'!U3</f>
        <v>270</v>
      </c>
      <c r="V4" s="9">
        <f>'4.1 Comptes 2022 natures'!V3</f>
        <v>417</v>
      </c>
      <c r="W4" s="9">
        <f>'4.1 Comptes 2022 natures'!W3</f>
        <v>3285</v>
      </c>
      <c r="X4" s="9">
        <f>'4.1 Comptes 2022 natures'!X3</f>
        <v>308</v>
      </c>
      <c r="Y4" s="9">
        <f>'4.1 Comptes 2022 natures'!Y3</f>
        <v>1258</v>
      </c>
      <c r="Z4" s="9">
        <f>'4.1 Comptes 2022 natures'!Z3</f>
        <v>1524</v>
      </c>
      <c r="AA4" s="9">
        <f>'4.1 Comptes 2022 natures'!AA3</f>
        <v>87</v>
      </c>
      <c r="AB4" s="9">
        <f>'4.1 Comptes 2022 natures'!AB3</f>
        <v>156</v>
      </c>
      <c r="AC4" s="9">
        <f>'4.1 Comptes 2022 natures'!AC3</f>
        <v>510</v>
      </c>
      <c r="AD4" s="9">
        <f>'4.1 Comptes 2022 natures'!AD3</f>
        <v>705</v>
      </c>
      <c r="AE4" s="9">
        <f>'4.1 Comptes 2022 natures'!AE3</f>
        <v>551</v>
      </c>
      <c r="AF4" s="9">
        <f>'4.1 Comptes 2022 natures'!AF3</f>
        <v>511</v>
      </c>
      <c r="AG4" s="9">
        <f>'4.1 Comptes 2022 natures'!AG3</f>
        <v>1902</v>
      </c>
      <c r="AH4" s="9">
        <f>'4.1 Comptes 2022 natures'!AH3</f>
        <v>2575</v>
      </c>
      <c r="AI4" s="9">
        <f>'4.1 Comptes 2022 natures'!AI3</f>
        <v>228</v>
      </c>
      <c r="AJ4" s="9">
        <f>'4.1 Comptes 2022 natures'!AJ3</f>
        <v>118</v>
      </c>
      <c r="AK4" s="9">
        <f>'4.1 Comptes 2022 natures'!AK3</f>
        <v>1882</v>
      </c>
      <c r="AL4" s="9">
        <f>'4.1 Comptes 2022 natures'!AL3</f>
        <v>1114</v>
      </c>
      <c r="AM4" s="9">
        <f>'4.1 Comptes 2022 natures'!AM3</f>
        <v>1217</v>
      </c>
      <c r="AN4" s="9">
        <f>'4.1 Comptes 2022 natures'!AN3</f>
        <v>117</v>
      </c>
      <c r="AO4" s="9">
        <f>'4.1 Comptes 2022 natures'!AO3</f>
        <v>1205</v>
      </c>
      <c r="AP4" s="9">
        <f>'4.1 Comptes 2022 natures'!AP3</f>
        <v>625</v>
      </c>
      <c r="AQ4" s="9">
        <f>'4.1 Comptes 2022 natures'!AQ3</f>
        <v>631</v>
      </c>
      <c r="AR4" s="9">
        <f>'4.1 Comptes 2022 natures'!AR3</f>
        <v>1275</v>
      </c>
      <c r="AS4" s="9">
        <f>'4.1 Comptes 2022 natures'!AS3</f>
        <v>718</v>
      </c>
      <c r="AT4" s="9">
        <f>'4.1 Comptes 2022 natures'!AT3</f>
        <v>1018</v>
      </c>
      <c r="AU4" s="9">
        <f>'4.1 Comptes 2022 natures'!AU3</f>
        <v>293</v>
      </c>
      <c r="AV4" s="9">
        <f>'4.1 Comptes 2022 natures'!AV3</f>
        <v>2435</v>
      </c>
      <c r="AW4" s="9">
        <f>'4.1 Comptes 2022 natures'!AW3</f>
        <v>786</v>
      </c>
      <c r="AX4" s="9">
        <f>'4.1 Comptes 2022 natures'!AX3</f>
        <v>184</v>
      </c>
      <c r="AY4" s="9">
        <f>'4.1 Comptes 2022 natures'!AY3</f>
        <v>333</v>
      </c>
      <c r="AZ4" s="9">
        <f>'4.1 Comptes 2022 natures'!AZ3</f>
        <v>1674</v>
      </c>
      <c r="BA4" s="9">
        <f>'4.1 Comptes 2022 natures'!BA3</f>
        <v>391</v>
      </c>
      <c r="BB4" s="9">
        <f>'4.1 Comptes 2022 natures'!BB3</f>
        <v>1052</v>
      </c>
      <c r="BC4" s="9">
        <f>'4.1 Comptes 2022 natures'!BC3</f>
        <v>186</v>
      </c>
      <c r="BD4" s="9">
        <f>'4.1 Comptes 2022 natures'!BD3</f>
        <v>6441</v>
      </c>
      <c r="BE4" s="9">
        <f>'4.1 Comptes 2022 natures'!BE3</f>
        <v>546</v>
      </c>
      <c r="BF4" s="9">
        <f>'4.1 Comptes 2022 natures'!BG3</f>
        <v>39309</v>
      </c>
      <c r="BG4" s="9">
        <f>'4.1 Comptes 2022 natures'!BH3</f>
        <v>10433</v>
      </c>
      <c r="BH4" s="9">
        <f>'4.1 Comptes 2022 natures'!BI3</f>
        <v>24123</v>
      </c>
    </row>
    <row r="5" spans="1:62"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2" x14ac:dyDescent="0.2">
      <c r="A6" s="159" t="s">
        <v>251</v>
      </c>
      <c r="B6" s="160" t="s">
        <v>224</v>
      </c>
      <c r="C6" s="159">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row>
    <row r="7" spans="1:62"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row>
    <row r="8" spans="1:62" ht="15" thickBot="1" x14ac:dyDescent="0.25">
      <c r="A8" s="165"/>
      <c r="B8" s="166"/>
      <c r="C8" s="165"/>
      <c r="D8" s="167"/>
      <c r="BF8" s="13"/>
      <c r="BG8" s="13"/>
      <c r="BH8" s="13"/>
    </row>
    <row r="9" spans="1:62"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row>
    <row r="10" spans="1:62" x14ac:dyDescent="0.2">
      <c r="B10" s="169"/>
      <c r="D10" s="13"/>
      <c r="BF10" s="13"/>
      <c r="BG10" s="13"/>
      <c r="BH10" s="13"/>
    </row>
    <row r="11" spans="1:62" x14ac:dyDescent="0.2">
      <c r="A11" s="159" t="s">
        <v>277</v>
      </c>
      <c r="B11" s="160" t="s">
        <v>224</v>
      </c>
      <c r="C11" s="159">
        <v>400</v>
      </c>
      <c r="D11" s="161">
        <f>'Base de données indicateurs1'!BF39</f>
        <v>170790423.49000001</v>
      </c>
      <c r="E11" s="13">
        <f>'Base de données indicateurs1'!E39</f>
        <v>2262700.1</v>
      </c>
      <c r="F11" s="13">
        <f>'Base de données indicateurs1'!F39</f>
        <v>394584.4</v>
      </c>
      <c r="G11" s="13">
        <f>'Base de données indicateurs1'!G39</f>
        <v>1139128.03</v>
      </c>
      <c r="H11" s="13">
        <f>'Base de données indicateurs1'!H39</f>
        <v>950656.41</v>
      </c>
      <c r="I11" s="13">
        <f>'Base de données indicateurs1'!I39</f>
        <v>7671731</v>
      </c>
      <c r="J11" s="13">
        <f>'Base de données indicateurs1'!J39</f>
        <v>7674815.9800000004</v>
      </c>
      <c r="K11" s="13">
        <f>'Base de données indicateurs1'!K39</f>
        <v>6509152.8200000003</v>
      </c>
      <c r="L11" s="13">
        <f>'Base de données indicateurs1'!L39</f>
        <v>29188230.370000001</v>
      </c>
      <c r="M11" s="13">
        <f>'Base de données indicateurs1'!M39</f>
        <v>3029773.01</v>
      </c>
      <c r="N11" s="13">
        <f>'Base de données indicateurs1'!N39</f>
        <v>191379.45</v>
      </c>
      <c r="O11" s="13">
        <f>'Base de données indicateurs1'!O39</f>
        <v>14939845.5</v>
      </c>
      <c r="P11" s="13">
        <f>'Base de données indicateurs1'!P39</f>
        <v>1017923.84</v>
      </c>
      <c r="Q11" s="13">
        <f>'Base de données indicateurs1'!Q39</f>
        <v>207778.13</v>
      </c>
      <c r="R11" s="13">
        <f>'Base de données indicateurs1'!R39</f>
        <v>999136.44</v>
      </c>
      <c r="S11" s="13">
        <f>'Base de données indicateurs1'!S39</f>
        <v>640644.31000000006</v>
      </c>
      <c r="T11" s="13">
        <f>'Base de données indicateurs1'!T39</f>
        <v>2080807.3</v>
      </c>
      <c r="U11" s="13">
        <f>'Base de données indicateurs1'!U39</f>
        <v>447890.85</v>
      </c>
      <c r="V11" s="13">
        <f>'Base de données indicateurs1'!V39</f>
        <v>1095422.74</v>
      </c>
      <c r="W11" s="13">
        <f>'Base de données indicateurs1'!W39</f>
        <v>6728443.8799999999</v>
      </c>
      <c r="X11" s="13">
        <f>'Base de données indicateurs1'!X39</f>
        <v>746834.75</v>
      </c>
      <c r="Y11" s="13">
        <f>'Base de données indicateurs1'!Y39</f>
        <v>4344563.7</v>
      </c>
      <c r="Z11" s="13">
        <f>'Base de données indicateurs1'!Z39</f>
        <v>3016734.59</v>
      </c>
      <c r="AA11" s="13">
        <f>'Base de données indicateurs1'!AA39</f>
        <v>162980.45000000001</v>
      </c>
      <c r="AB11" s="13">
        <f>'Base de données indicateurs1'!AB39</f>
        <v>290960.59000000003</v>
      </c>
      <c r="AC11" s="13">
        <f>'Base de données indicateurs1'!AC39</f>
        <v>1263965.1499999999</v>
      </c>
      <c r="AD11" s="13">
        <f>'Base de données indicateurs1'!AD39</f>
        <v>1550453.62</v>
      </c>
      <c r="AE11" s="13">
        <f>'Base de données indicateurs1'!AE39</f>
        <v>1150391.33</v>
      </c>
      <c r="AF11" s="13">
        <f>'Base de données indicateurs1'!AF39</f>
        <v>1344189.14</v>
      </c>
      <c r="AG11" s="13">
        <f>'Base de données indicateurs1'!AG39</f>
        <v>4697662.17</v>
      </c>
      <c r="AH11" s="13">
        <f>'Base de données indicateurs1'!AH39</f>
        <v>6280726.4000000004</v>
      </c>
      <c r="AI11" s="13">
        <f>'Base de données indicateurs1'!AI39</f>
        <v>561108</v>
      </c>
      <c r="AJ11" s="13">
        <f>'Base de données indicateurs1'!AJ39</f>
        <v>246941.98</v>
      </c>
      <c r="AK11" s="13">
        <f>'Base de données indicateurs1'!AK39</f>
        <v>4913883.17</v>
      </c>
      <c r="AL11" s="13">
        <f>'Base de données indicateurs1'!AL39</f>
        <v>2112923</v>
      </c>
      <c r="AM11" s="13">
        <f>'Base de données indicateurs1'!AM39</f>
        <v>2384568.14</v>
      </c>
      <c r="AN11" s="13">
        <f>'Base de données indicateurs1'!AN39</f>
        <v>269179</v>
      </c>
      <c r="AO11" s="13">
        <f>'Base de données indicateurs1'!AO39</f>
        <v>3543365.99</v>
      </c>
      <c r="AP11" s="13">
        <f>'Base de données indicateurs1'!AP39</f>
        <v>1427538.26</v>
      </c>
      <c r="AQ11" s="13">
        <f>'Base de données indicateurs1'!AQ39</f>
        <v>1396588</v>
      </c>
      <c r="AR11" s="13">
        <f>'Base de données indicateurs1'!AR39</f>
        <v>2314628.2999999998</v>
      </c>
      <c r="AS11" s="13">
        <f>'Base de données indicateurs1'!AS39</f>
        <v>1555418.93</v>
      </c>
      <c r="AT11" s="13">
        <f>'Base de données indicateurs1'!AT39</f>
        <v>2260301.69</v>
      </c>
      <c r="AU11" s="13">
        <f>'Base de données indicateurs1'!AU39</f>
        <v>665145.5</v>
      </c>
      <c r="AV11" s="13">
        <f>'Base de données indicateurs1'!AV39</f>
        <v>5397412.5199999996</v>
      </c>
      <c r="AW11" s="13">
        <f>'Base de données indicateurs1'!AW39</f>
        <v>1851760.6</v>
      </c>
      <c r="AX11" s="13">
        <f>'Base de données indicateurs1'!AX39</f>
        <v>313766.09999999998</v>
      </c>
      <c r="AY11" s="13">
        <f>'Base de données indicateurs1'!AY39</f>
        <v>678698.3</v>
      </c>
      <c r="AZ11" s="13">
        <f>'Base de données indicateurs1'!AZ39</f>
        <v>4101354</v>
      </c>
      <c r="BA11" s="13">
        <f>'Base de données indicateurs1'!BA39</f>
        <v>693667.73</v>
      </c>
      <c r="BB11" s="13">
        <f>'Base de données indicateurs1'!BB39</f>
        <v>2709050</v>
      </c>
      <c r="BC11" s="13">
        <f>'Base de données indicateurs1'!BC39</f>
        <v>301178.40000000002</v>
      </c>
      <c r="BD11" s="13">
        <f>'Base de données indicateurs1'!BD39</f>
        <v>17855510.039999999</v>
      </c>
      <c r="BE11" s="13">
        <f>'Base de données indicateurs1'!BE39</f>
        <v>1216929.3899999999</v>
      </c>
      <c r="BF11" s="13">
        <f t="shared" si="0"/>
        <v>87170044.559999973</v>
      </c>
      <c r="BG11" s="13">
        <f t="shared" si="1"/>
        <v>25657511.870000001</v>
      </c>
      <c r="BH11" s="13">
        <f t="shared" si="2"/>
        <v>57962867.059999995</v>
      </c>
    </row>
    <row r="12" spans="1:62" x14ac:dyDescent="0.2">
      <c r="A12" s="162" t="s">
        <v>279</v>
      </c>
      <c r="B12" s="163" t="s">
        <v>224</v>
      </c>
      <c r="C12" s="162">
        <v>401</v>
      </c>
      <c r="D12" s="164">
        <f>'Base de données indicateurs1'!BF40</f>
        <v>26325477.629999988</v>
      </c>
      <c r="E12" s="13">
        <f>'Base de données indicateurs1'!E40</f>
        <v>104082.17</v>
      </c>
      <c r="F12" s="13">
        <f>'Base de données indicateurs1'!F40</f>
        <v>4199.7</v>
      </c>
      <c r="G12" s="13">
        <f>'Base de données indicateurs1'!G40</f>
        <v>-8741.4500000000007</v>
      </c>
      <c r="H12" s="13">
        <f>'Base de données indicateurs1'!H40</f>
        <v>-15810.9</v>
      </c>
      <c r="I12" s="13">
        <f>'Base de données indicateurs1'!I40</f>
        <v>410566</v>
      </c>
      <c r="J12" s="13">
        <f>'Base de données indicateurs1'!J40</f>
        <v>435109.2</v>
      </c>
      <c r="K12" s="13">
        <f>'Base de données indicateurs1'!K40</f>
        <v>1158851.46</v>
      </c>
      <c r="L12" s="13">
        <f>'Base de données indicateurs1'!L40</f>
        <v>4132816.72</v>
      </c>
      <c r="M12" s="13">
        <f>'Base de données indicateurs1'!M40</f>
        <v>169303.3</v>
      </c>
      <c r="N12" s="13">
        <f>'Base de données indicateurs1'!N40</f>
        <v>10437.31</v>
      </c>
      <c r="O12" s="13">
        <f>'Base de données indicateurs1'!O40</f>
        <v>1422894.55</v>
      </c>
      <c r="P12" s="13">
        <f>'Base de données indicateurs1'!P40</f>
        <v>1536.15</v>
      </c>
      <c r="Q12" s="13">
        <f>'Base de données indicateurs1'!Q40</f>
        <v>400.65</v>
      </c>
      <c r="R12" s="13">
        <f>'Base de données indicateurs1'!R40</f>
        <v>634.11</v>
      </c>
      <c r="S12" s="13">
        <f>'Base de données indicateurs1'!S40</f>
        <v>2644.55</v>
      </c>
      <c r="T12" s="13">
        <f>'Base de données indicateurs1'!T40</f>
        <v>-10344.4</v>
      </c>
      <c r="U12" s="13">
        <f>'Base de données indicateurs1'!U40</f>
        <v>4057.45</v>
      </c>
      <c r="V12" s="13">
        <f>'Base de données indicateurs1'!V40</f>
        <v>242179.35</v>
      </c>
      <c r="W12" s="13">
        <f>'Base de données indicateurs1'!W40</f>
        <v>414822.18</v>
      </c>
      <c r="X12" s="13">
        <f>'Base de données indicateurs1'!X40</f>
        <v>4574.2</v>
      </c>
      <c r="Y12" s="13">
        <f>'Base de données indicateurs1'!Y40</f>
        <v>112507.6</v>
      </c>
      <c r="Z12" s="13">
        <f>'Base de données indicateurs1'!Z40</f>
        <v>6938409.75</v>
      </c>
      <c r="AA12" s="13">
        <f>'Base de données indicateurs1'!AA40</f>
        <v>102.2</v>
      </c>
      <c r="AB12" s="13">
        <f>'Base de données indicateurs1'!AB40</f>
        <v>-5685.3</v>
      </c>
      <c r="AC12" s="13">
        <f>'Base de données indicateurs1'!AC40</f>
        <v>72681.350000000006</v>
      </c>
      <c r="AD12" s="13">
        <f>'Base de données indicateurs1'!AD40</f>
        <v>74341.350000000006</v>
      </c>
      <c r="AE12" s="13">
        <f>'Base de données indicateurs1'!AE40</f>
        <v>23967.7</v>
      </c>
      <c r="AF12" s="13">
        <f>'Base de données indicateurs1'!AF40</f>
        <v>48888.36</v>
      </c>
      <c r="AG12" s="13">
        <f>'Base de données indicateurs1'!AG40</f>
        <v>1308463.1000000001</v>
      </c>
      <c r="AH12" s="13">
        <f>'Base de données indicateurs1'!AH40</f>
        <v>480060.95</v>
      </c>
      <c r="AI12" s="13">
        <f>'Base de données indicateurs1'!AI40</f>
        <v>0</v>
      </c>
      <c r="AJ12" s="13">
        <f>'Base de données indicateurs1'!AJ40</f>
        <v>-559.15</v>
      </c>
      <c r="AK12" s="13">
        <f>'Base de données indicateurs1'!AK40</f>
        <v>381200.4</v>
      </c>
      <c r="AL12" s="13">
        <f>'Base de données indicateurs1'!AL40</f>
        <v>15337</v>
      </c>
      <c r="AM12" s="13">
        <f>'Base de données indicateurs1'!AM40</f>
        <v>70712.149999999994</v>
      </c>
      <c r="AN12" s="13">
        <f>'Base de données indicateurs1'!AN40</f>
        <v>41575</v>
      </c>
      <c r="AO12" s="13">
        <f>'Base de données indicateurs1'!AO40</f>
        <v>4126565.45</v>
      </c>
      <c r="AP12" s="13">
        <f>'Base de données indicateurs1'!AP40</f>
        <v>-20679.21</v>
      </c>
      <c r="AQ12" s="13">
        <f>'Base de données indicateurs1'!AQ40</f>
        <v>126130</v>
      </c>
      <c r="AR12" s="13">
        <f>'Base de données indicateurs1'!AR40</f>
        <v>21170.65</v>
      </c>
      <c r="AS12" s="13">
        <f>'Base de données indicateurs1'!AS40</f>
        <v>24447.4</v>
      </c>
      <c r="AT12" s="13">
        <f>'Base de données indicateurs1'!AT40</f>
        <v>18304.88</v>
      </c>
      <c r="AU12" s="13">
        <f>'Base de données indicateurs1'!AU40</f>
        <v>124189.1</v>
      </c>
      <c r="AV12" s="13">
        <f>'Base de données indicateurs1'!AV40</f>
        <v>395818.19</v>
      </c>
      <c r="AW12" s="13">
        <f>'Base de données indicateurs1'!AW40</f>
        <v>374940.27</v>
      </c>
      <c r="AX12" s="13">
        <f>'Base de données indicateurs1'!AX40</f>
        <v>7008.05</v>
      </c>
      <c r="AY12" s="13">
        <f>'Base de données indicateurs1'!AY40</f>
        <v>11008.4</v>
      </c>
      <c r="AZ12" s="13">
        <f>'Base de données indicateurs1'!AZ40</f>
        <v>49702.400000000001</v>
      </c>
      <c r="BA12" s="13">
        <f>'Base de données indicateurs1'!BA40</f>
        <v>16074.4</v>
      </c>
      <c r="BB12" s="13">
        <f>'Base de données indicateurs1'!BB40</f>
        <v>302844</v>
      </c>
      <c r="BC12" s="13">
        <f>'Base de données indicateurs1'!BC40</f>
        <v>10835.15</v>
      </c>
      <c r="BD12" s="13">
        <f>'Base de données indicateurs1'!BD40</f>
        <v>2575460.19</v>
      </c>
      <c r="BE12" s="13">
        <f>'Base de données indicateurs1'!BE40</f>
        <v>115443.55</v>
      </c>
      <c r="BF12" s="13">
        <f t="shared" si="0"/>
        <v>8479638.0999999996</v>
      </c>
      <c r="BG12" s="13">
        <f t="shared" si="1"/>
        <v>9057752.1099999994</v>
      </c>
      <c r="BH12" s="13">
        <f t="shared" si="2"/>
        <v>8788087.4200000037</v>
      </c>
      <c r="BJ12" s="13"/>
    </row>
    <row r="13" spans="1:62" x14ac:dyDescent="0.2">
      <c r="A13" s="162" t="s">
        <v>496</v>
      </c>
      <c r="B13" s="163" t="s">
        <v>497</v>
      </c>
      <c r="C13" s="170" t="s">
        <v>498</v>
      </c>
      <c r="D13" s="164">
        <f>'Base de données indicateurs1'!BF49-'Base de données indicateurs1'!BF27</f>
        <v>7712419</v>
      </c>
      <c r="E13" s="13">
        <f>'Base de données indicateurs1'!E49-'Base de données indicateurs1'!E27</f>
        <v>-16618</v>
      </c>
      <c r="F13" s="13">
        <f>'Base de données indicateurs1'!F49-'Base de données indicateurs1'!F27</f>
        <v>127563</v>
      </c>
      <c r="G13" s="13">
        <f>'Base de données indicateurs1'!G49-'Base de données indicateurs1'!G27</f>
        <v>65232</v>
      </c>
      <c r="H13" s="13">
        <f>'Base de données indicateurs1'!H49-'Base de données indicateurs1'!H27</f>
        <v>137174</v>
      </c>
      <c r="I13" s="13">
        <f>'Base de données indicateurs1'!I49-'Base de données indicateurs1'!I27</f>
        <v>1350784</v>
      </c>
      <c r="J13" s="13">
        <f>'Base de données indicateurs1'!J49-'Base de données indicateurs1'!J27</f>
        <v>15099</v>
      </c>
      <c r="K13" s="13">
        <f>'Base de données indicateurs1'!K49-'Base de données indicateurs1'!K27</f>
        <v>-212945</v>
      </c>
      <c r="L13" s="13">
        <f>'Base de données indicateurs1'!L49-'Base de données indicateurs1'!L27</f>
        <v>-407839</v>
      </c>
      <c r="M13" s="13">
        <f>'Base de données indicateurs1'!M49-'Base de données indicateurs1'!M27</f>
        <v>56476</v>
      </c>
      <c r="N13" s="13">
        <f>'Base de données indicateurs1'!N49-'Base de données indicateurs1'!N27</f>
        <v>127244</v>
      </c>
      <c r="O13" s="13">
        <f>'Base de données indicateurs1'!O49-'Base de données indicateurs1'!O27</f>
        <v>2422025</v>
      </c>
      <c r="P13" s="13">
        <f>'Base de données indicateurs1'!P49-'Base de données indicateurs1'!P27</f>
        <v>301970</v>
      </c>
      <c r="Q13" s="13">
        <f>'Base de données indicateurs1'!Q49-'Base de données indicateurs1'!Q27</f>
        <v>68749</v>
      </c>
      <c r="R13" s="13">
        <f>'Base de données indicateurs1'!R49-'Base de données indicateurs1'!R27</f>
        <v>142304</v>
      </c>
      <c r="S13" s="13">
        <f>'Base de données indicateurs1'!S49-'Base de données indicateurs1'!S27</f>
        <v>223270</v>
      </c>
      <c r="T13" s="13">
        <f>'Base de données indicateurs1'!T49-'Base de données indicateurs1'!T27</f>
        <v>-27562</v>
      </c>
      <c r="U13" s="13">
        <f>'Base de données indicateurs1'!U49-'Base de données indicateurs1'!U27</f>
        <v>110822</v>
      </c>
      <c r="V13" s="13">
        <f>'Base de données indicateurs1'!V49-'Base de données indicateurs1'!V27</f>
        <v>-17492</v>
      </c>
      <c r="W13" s="13">
        <f>'Base de données indicateurs1'!W49-'Base de données indicateurs1'!W27</f>
        <v>1141852</v>
      </c>
      <c r="X13" s="13">
        <f>'Base de données indicateurs1'!X49-'Base de données indicateurs1'!X27</f>
        <v>34964</v>
      </c>
      <c r="Y13" s="13">
        <f>'Base de données indicateurs1'!Y49-'Base de données indicateurs1'!Y27</f>
        <v>22802</v>
      </c>
      <c r="Z13" s="13">
        <f>'Base de données indicateurs1'!Z49-'Base de données indicateurs1'!Z27</f>
        <v>27962</v>
      </c>
      <c r="AA13" s="13">
        <f>'Base de données indicateurs1'!AA49-'Base de données indicateurs1'!AA27</f>
        <v>44458</v>
      </c>
      <c r="AB13" s="13">
        <f>'Base de données indicateurs1'!AB49-'Base de données indicateurs1'!AB27</f>
        <v>83800</v>
      </c>
      <c r="AC13" s="13">
        <f>'Base de données indicateurs1'!AC49-'Base de données indicateurs1'!AC27</f>
        <v>92618</v>
      </c>
      <c r="AD13" s="13">
        <f>'Base de données indicateurs1'!AD49-'Base de données indicateurs1'!AD27</f>
        <v>289439</v>
      </c>
      <c r="AE13" s="13">
        <f>'Base de données indicateurs1'!AE49-'Base de données indicateurs1'!AE27</f>
        <v>261508</v>
      </c>
      <c r="AF13" s="13">
        <f>'Base de données indicateurs1'!AF49-'Base de données indicateurs1'!AF27</f>
        <v>-117790</v>
      </c>
      <c r="AG13" s="13">
        <f>'Base de données indicateurs1'!AG49-'Base de données indicateurs1'!AG27</f>
        <v>-314160</v>
      </c>
      <c r="AH13" s="13">
        <f>'Base de données indicateurs1'!AH49-'Base de données indicateurs1'!AH27</f>
        <v>303952</v>
      </c>
      <c r="AI13" s="13">
        <f>'Base de données indicateurs1'!AI49-'Base de données indicateurs1'!AI27</f>
        <v>34404</v>
      </c>
      <c r="AJ13" s="13">
        <f>'Base de données indicateurs1'!AJ49-'Base de données indicateurs1'!AJ27</f>
        <v>84728</v>
      </c>
      <c r="AK13" s="13">
        <f>'Base de données indicateurs1'!AK49-'Base de données indicateurs1'!AK27</f>
        <v>255372</v>
      </c>
      <c r="AL13" s="13">
        <f>'Base de données indicateurs1'!AL49-'Base de données indicateurs1'!AL27</f>
        <v>541439</v>
      </c>
      <c r="AM13" s="13">
        <f>'Base de données indicateurs1'!AM49-'Base de données indicateurs1'!AM27</f>
        <v>554244</v>
      </c>
      <c r="AN13" s="13">
        <f>'Base de données indicateurs1'!AN49-'Base de données indicateurs1'!AN27</f>
        <v>20060</v>
      </c>
      <c r="AO13" s="13">
        <f>'Base de données indicateurs1'!AO49-'Base de données indicateurs1'!AO27</f>
        <v>-1442298</v>
      </c>
      <c r="AP13" s="13">
        <f>'Base de données indicateurs1'!AP49-'Base de données indicateurs1'!AP27</f>
        <v>0</v>
      </c>
      <c r="AQ13" s="13">
        <f>'Base de données indicateurs1'!AQ49-'Base de données indicateurs1'!AQ27</f>
        <v>41602</v>
      </c>
      <c r="AR13" s="13">
        <f>'Base de données indicateurs1'!AR49-'Base de données indicateurs1'!AR27</f>
        <v>355906</v>
      </c>
      <c r="AS13" s="13">
        <f>'Base de données indicateurs1'!AS49-'Base de données indicateurs1'!AS27</f>
        <v>337284</v>
      </c>
      <c r="AT13" s="13">
        <f>'Base de données indicateurs1'!AT49-'Base de données indicateurs1'!AT27</f>
        <v>307002</v>
      </c>
      <c r="AU13" s="13">
        <f>'Base de données indicateurs1'!AU49-'Base de données indicateurs1'!AU27</f>
        <v>-341674</v>
      </c>
      <c r="AV13" s="13">
        <f>'Base de données indicateurs1'!AV49-'Base de données indicateurs1'!AV27</f>
        <v>352294</v>
      </c>
      <c r="AW13" s="13">
        <f>'Base de données indicateurs1'!AW49-'Base de données indicateurs1'!AW27</f>
        <v>29564</v>
      </c>
      <c r="AX13" s="13">
        <f>'Base de données indicateurs1'!AX49-'Base de données indicateurs1'!AX27</f>
        <v>75954</v>
      </c>
      <c r="AY13" s="13">
        <f>'Base de données indicateurs1'!AY49-'Base de données indicateurs1'!AY27</f>
        <v>137830</v>
      </c>
      <c r="AZ13" s="13">
        <f>'Base de données indicateurs1'!AZ49-'Base de données indicateurs1'!AZ27</f>
        <v>227354</v>
      </c>
      <c r="BA13" s="13">
        <f>'Base de données indicateurs1'!BA49-'Base de données indicateurs1'!BA27</f>
        <v>147394</v>
      </c>
      <c r="BB13" s="13">
        <f>'Base de données indicateurs1'!BB49-'Base de données indicateurs1'!BB27</f>
        <v>-8093</v>
      </c>
      <c r="BC13" s="13">
        <f>'Base de données indicateurs1'!BC49-'Base de données indicateurs1'!BC27</f>
        <v>138528</v>
      </c>
      <c r="BD13" s="13">
        <f>'Base de données indicateurs1'!BD49-'Base de données indicateurs1'!BD27</f>
        <v>-679030</v>
      </c>
      <c r="BE13" s="13">
        <f>'Base de données indicateurs1'!BE49-'Base de données indicateurs1'!BE27</f>
        <v>204894</v>
      </c>
      <c r="BF13" s="13">
        <f t="shared" si="0"/>
        <v>5608108</v>
      </c>
      <c r="BG13" s="13">
        <f t="shared" si="1"/>
        <v>848685</v>
      </c>
      <c r="BH13" s="13">
        <f t="shared" si="2"/>
        <v>1255626</v>
      </c>
      <c r="BJ13" s="13"/>
    </row>
    <row r="14" spans="1:62" x14ac:dyDescent="0.2">
      <c r="A14" s="162" t="s">
        <v>499</v>
      </c>
      <c r="B14" s="163" t="s">
        <v>224</v>
      </c>
      <c r="C14" s="162">
        <v>46228</v>
      </c>
      <c r="D14" s="164">
        <f>'Base de données indicateurs1'!BF50</f>
        <v>1299788.6499999999</v>
      </c>
      <c r="E14" s="13">
        <f>'Base de données indicateurs1'!E50</f>
        <v>0</v>
      </c>
      <c r="F14" s="13">
        <f>'Base de données indicateurs1'!F50</f>
        <v>0</v>
      </c>
      <c r="G14" s="13">
        <f>'Base de données indicateurs1'!G50</f>
        <v>0</v>
      </c>
      <c r="H14" s="13">
        <f>'Base de données indicateurs1'!H50</f>
        <v>0</v>
      </c>
      <c r="I14" s="13">
        <f>'Base de données indicateurs1'!I50</f>
        <v>0</v>
      </c>
      <c r="J14" s="13">
        <f>'Base de données indicateurs1'!J50</f>
        <v>0</v>
      </c>
      <c r="K14" s="13">
        <f>'Base de données indicateurs1'!K50</f>
        <v>0</v>
      </c>
      <c r="L14" s="13">
        <f>'Base de données indicateurs1'!L50</f>
        <v>882357.8</v>
      </c>
      <c r="M14" s="13">
        <f>'Base de données indicateurs1'!M50</f>
        <v>0</v>
      </c>
      <c r="N14" s="13">
        <f>'Base de données indicateurs1'!N50</f>
        <v>0</v>
      </c>
      <c r="O14" s="13">
        <f>'Base de données indicateurs1'!O50</f>
        <v>0</v>
      </c>
      <c r="P14" s="13">
        <f>'Base de données indicateurs1'!P50</f>
        <v>0</v>
      </c>
      <c r="Q14" s="13">
        <f>'Base de données indicateurs1'!Q50</f>
        <v>0</v>
      </c>
      <c r="R14" s="13">
        <f>'Base de données indicateurs1'!R50</f>
        <v>0</v>
      </c>
      <c r="S14" s="13">
        <f>'Base de données indicateurs1'!S50</f>
        <v>0</v>
      </c>
      <c r="T14" s="13">
        <f>'Base de données indicateurs1'!T50</f>
        <v>0</v>
      </c>
      <c r="U14" s="13">
        <f>'Base de données indicateurs1'!U50</f>
        <v>0</v>
      </c>
      <c r="V14" s="13">
        <f>'Base de données indicateurs1'!V50</f>
        <v>0</v>
      </c>
      <c r="W14" s="13">
        <f>'Base de données indicateurs1'!W50</f>
        <v>0</v>
      </c>
      <c r="X14" s="13">
        <f>'Base de données indicateurs1'!X50</f>
        <v>0</v>
      </c>
      <c r="Y14" s="13">
        <f>'Base de données indicateurs1'!Y50</f>
        <v>0</v>
      </c>
      <c r="Z14" s="13">
        <f>'Base de données indicateurs1'!Z50</f>
        <v>0</v>
      </c>
      <c r="AA14" s="13">
        <f>'Base de données indicateurs1'!AA50</f>
        <v>44</v>
      </c>
      <c r="AB14" s="13">
        <f>'Base de données indicateurs1'!AB50</f>
        <v>0</v>
      </c>
      <c r="AC14" s="13">
        <f>'Base de données indicateurs1'!AC50</f>
        <v>0</v>
      </c>
      <c r="AD14" s="13">
        <f>'Base de données indicateurs1'!AD50</f>
        <v>0</v>
      </c>
      <c r="AE14" s="13">
        <f>'Base de données indicateurs1'!AE50</f>
        <v>0</v>
      </c>
      <c r="AF14" s="13">
        <f>'Base de données indicateurs1'!AF50</f>
        <v>0</v>
      </c>
      <c r="AG14" s="13">
        <f>'Base de données indicateurs1'!AG50</f>
        <v>0</v>
      </c>
      <c r="AH14" s="13">
        <f>'Base de données indicateurs1'!AH50</f>
        <v>0</v>
      </c>
      <c r="AI14" s="13">
        <f>'Base de données indicateurs1'!AI50</f>
        <v>0</v>
      </c>
      <c r="AJ14" s="13">
        <f>'Base de données indicateurs1'!AJ50</f>
        <v>0</v>
      </c>
      <c r="AK14" s="13">
        <f>'Base de données indicateurs1'!AK50</f>
        <v>0</v>
      </c>
      <c r="AL14" s="13">
        <f>'Base de données indicateurs1'!AL50</f>
        <v>0</v>
      </c>
      <c r="AM14" s="13">
        <f>'Base de données indicateurs1'!AM50</f>
        <v>0</v>
      </c>
      <c r="AN14" s="13">
        <f>'Base de données indicateurs1'!AN50</f>
        <v>0</v>
      </c>
      <c r="AO14" s="13">
        <f>'Base de données indicateurs1'!AO50</f>
        <v>0</v>
      </c>
      <c r="AP14" s="13">
        <f>'Base de données indicateurs1'!AP50</f>
        <v>0</v>
      </c>
      <c r="AQ14" s="13">
        <f>'Base de données indicateurs1'!AQ50</f>
        <v>0</v>
      </c>
      <c r="AR14" s="13">
        <f>'Base de données indicateurs1'!AR50</f>
        <v>0</v>
      </c>
      <c r="AS14" s="13">
        <f>'Base de données indicateurs1'!AS50</f>
        <v>0</v>
      </c>
      <c r="AT14" s="13">
        <f>'Base de données indicateurs1'!AT50</f>
        <v>0</v>
      </c>
      <c r="AU14" s="13">
        <f>'Base de données indicateurs1'!AU50</f>
        <v>0</v>
      </c>
      <c r="AV14" s="13">
        <f>'Base de données indicateurs1'!AV50</f>
        <v>0</v>
      </c>
      <c r="AW14" s="13">
        <f>'Base de données indicateurs1'!AW50</f>
        <v>0</v>
      </c>
      <c r="AX14" s="13">
        <f>'Base de données indicateurs1'!AX50</f>
        <v>0</v>
      </c>
      <c r="AY14" s="13">
        <f>'Base de données indicateurs1'!AY50</f>
        <v>0</v>
      </c>
      <c r="AZ14" s="13">
        <f>'Base de données indicateurs1'!AZ50</f>
        <v>0</v>
      </c>
      <c r="BA14" s="13">
        <f>'Base de données indicateurs1'!BA50</f>
        <v>0</v>
      </c>
      <c r="BB14" s="13">
        <f>'Base de données indicateurs1'!BB50</f>
        <v>0</v>
      </c>
      <c r="BC14" s="13">
        <f>'Base de données indicateurs1'!BC50</f>
        <v>0</v>
      </c>
      <c r="BD14" s="13">
        <f>'Base de données indicateurs1'!BD50</f>
        <v>417386.85</v>
      </c>
      <c r="BE14" s="13">
        <f>'Base de données indicateurs1'!BE50</f>
        <v>0</v>
      </c>
      <c r="BF14" s="13">
        <f t="shared" si="0"/>
        <v>882357.8</v>
      </c>
      <c r="BG14" s="13">
        <f t="shared" si="1"/>
        <v>44</v>
      </c>
      <c r="BH14" s="13">
        <f t="shared" si="2"/>
        <v>417386.85</v>
      </c>
      <c r="BJ14" s="13"/>
    </row>
    <row r="15" spans="1:62" ht="15" thickBot="1" x14ac:dyDescent="0.25">
      <c r="A15" s="165"/>
      <c r="B15" s="166"/>
      <c r="C15" s="165"/>
      <c r="D15" s="167"/>
      <c r="BF15" s="13"/>
      <c r="BG15" s="13"/>
      <c r="BH15" s="13"/>
      <c r="BJ15" s="13"/>
    </row>
    <row r="16" spans="1:62" ht="15.75" thickBot="1" x14ac:dyDescent="0.3">
      <c r="A16" s="7" t="s">
        <v>500</v>
      </c>
      <c r="B16" s="112"/>
      <c r="C16" s="7"/>
      <c r="D16" s="168">
        <f>D11+D12+D13+D14</f>
        <v>206128108.77000001</v>
      </c>
      <c r="E16" s="13">
        <f>E11+E12+E13+E14</f>
        <v>2350164.27</v>
      </c>
      <c r="F16" s="13">
        <f t="shared" ref="F16:BE16" si="4">F11+F12+F13+F14</f>
        <v>526347.10000000009</v>
      </c>
      <c r="G16" s="13">
        <f t="shared" si="4"/>
        <v>1195618.58</v>
      </c>
      <c r="H16" s="13">
        <f t="shared" si="4"/>
        <v>1072019.51</v>
      </c>
      <c r="I16" s="13">
        <f t="shared" si="4"/>
        <v>9433081</v>
      </c>
      <c r="J16" s="13">
        <f t="shared" si="4"/>
        <v>8125024.1800000006</v>
      </c>
      <c r="K16" s="13">
        <f t="shared" si="4"/>
        <v>7455059.2800000003</v>
      </c>
      <c r="L16" s="13">
        <f t="shared" si="4"/>
        <v>33795565.890000001</v>
      </c>
      <c r="M16" s="13">
        <f t="shared" si="4"/>
        <v>3255552.3099999996</v>
      </c>
      <c r="N16" s="13">
        <f t="shared" si="4"/>
        <v>329060.76</v>
      </c>
      <c r="O16" s="13">
        <f t="shared" si="4"/>
        <v>18784765.050000001</v>
      </c>
      <c r="P16" s="13">
        <f t="shared" si="4"/>
        <v>1321429.99</v>
      </c>
      <c r="Q16" s="13">
        <f t="shared" si="4"/>
        <v>276927.78000000003</v>
      </c>
      <c r="R16" s="13">
        <f t="shared" si="4"/>
        <v>1142074.5499999998</v>
      </c>
      <c r="S16" s="13">
        <f t="shared" si="4"/>
        <v>866558.8600000001</v>
      </c>
      <c r="T16" s="13">
        <f t="shared" si="4"/>
        <v>2042900.9000000001</v>
      </c>
      <c r="U16" s="13">
        <f t="shared" si="4"/>
        <v>562770.30000000005</v>
      </c>
      <c r="V16" s="13">
        <f t="shared" si="4"/>
        <v>1320110.0900000001</v>
      </c>
      <c r="W16" s="13">
        <f t="shared" si="4"/>
        <v>8285118.0599999996</v>
      </c>
      <c r="X16" s="13">
        <f t="shared" si="4"/>
        <v>786372.95</v>
      </c>
      <c r="Y16" s="13">
        <f t="shared" si="4"/>
        <v>4479873.3</v>
      </c>
      <c r="Z16" s="13">
        <f t="shared" si="4"/>
        <v>9983106.3399999999</v>
      </c>
      <c r="AA16" s="13">
        <f t="shared" si="4"/>
        <v>207584.65000000002</v>
      </c>
      <c r="AB16" s="13">
        <f t="shared" si="4"/>
        <v>369075.29000000004</v>
      </c>
      <c r="AC16" s="13">
        <f t="shared" si="4"/>
        <v>1429264.5</v>
      </c>
      <c r="AD16" s="13">
        <f t="shared" si="4"/>
        <v>1914233.9700000002</v>
      </c>
      <c r="AE16" s="13">
        <f t="shared" si="4"/>
        <v>1435867.03</v>
      </c>
      <c r="AF16" s="13">
        <f t="shared" si="4"/>
        <v>1275287.5</v>
      </c>
      <c r="AG16" s="13">
        <f t="shared" si="4"/>
        <v>5691965.2699999996</v>
      </c>
      <c r="AH16" s="13">
        <f t="shared" si="4"/>
        <v>7064739.3500000006</v>
      </c>
      <c r="AI16" s="13">
        <f t="shared" si="4"/>
        <v>595512</v>
      </c>
      <c r="AJ16" s="13">
        <f t="shared" si="4"/>
        <v>331110.83</v>
      </c>
      <c r="AK16" s="13">
        <f t="shared" si="4"/>
        <v>5550455.5700000003</v>
      </c>
      <c r="AL16" s="13">
        <f t="shared" si="4"/>
        <v>2669699</v>
      </c>
      <c r="AM16" s="13">
        <f t="shared" si="4"/>
        <v>3009524.29</v>
      </c>
      <c r="AN16" s="13">
        <f t="shared" si="4"/>
        <v>330814</v>
      </c>
      <c r="AO16" s="13">
        <f t="shared" si="4"/>
        <v>6227633.4400000004</v>
      </c>
      <c r="AP16" s="13">
        <f t="shared" si="4"/>
        <v>1406859.05</v>
      </c>
      <c r="AQ16" s="13">
        <f t="shared" si="4"/>
        <v>1564320</v>
      </c>
      <c r="AR16" s="13">
        <f t="shared" si="4"/>
        <v>2691704.9499999997</v>
      </c>
      <c r="AS16" s="13">
        <f t="shared" si="4"/>
        <v>1917150.3299999998</v>
      </c>
      <c r="AT16" s="13">
        <f t="shared" si="4"/>
        <v>2585608.5699999998</v>
      </c>
      <c r="AU16" s="13">
        <f t="shared" si="4"/>
        <v>447660.6</v>
      </c>
      <c r="AV16" s="13">
        <f t="shared" si="4"/>
        <v>6145524.71</v>
      </c>
      <c r="AW16" s="13">
        <f t="shared" si="4"/>
        <v>2256264.87</v>
      </c>
      <c r="AX16" s="13">
        <f t="shared" si="4"/>
        <v>396728.14999999997</v>
      </c>
      <c r="AY16" s="13">
        <f t="shared" si="4"/>
        <v>827536.70000000007</v>
      </c>
      <c r="AZ16" s="13">
        <f t="shared" si="4"/>
        <v>4378410.4000000004</v>
      </c>
      <c r="BA16" s="13">
        <f t="shared" si="4"/>
        <v>857136.13</v>
      </c>
      <c r="BB16" s="13">
        <f t="shared" si="4"/>
        <v>3003801</v>
      </c>
      <c r="BC16" s="13">
        <f t="shared" si="4"/>
        <v>450541.55000000005</v>
      </c>
      <c r="BD16" s="13">
        <f t="shared" si="4"/>
        <v>20169327.080000002</v>
      </c>
      <c r="BE16" s="13">
        <f t="shared" si="4"/>
        <v>1537266.94</v>
      </c>
      <c r="BF16" s="13">
        <f t="shared" si="0"/>
        <v>102140148.46000001</v>
      </c>
      <c r="BG16" s="13">
        <f t="shared" si="1"/>
        <v>35563992.979999997</v>
      </c>
      <c r="BH16" s="13">
        <f t="shared" si="2"/>
        <v>68423967.329999998</v>
      </c>
      <c r="BJ16" s="13"/>
    </row>
    <row r="17" spans="1:62" ht="15" thickBot="1" x14ac:dyDescent="0.25">
      <c r="B17" s="169"/>
      <c r="D17" s="13"/>
      <c r="BF17" s="13"/>
      <c r="BG17" s="13"/>
      <c r="BH17" s="13"/>
      <c r="BJ17" s="13"/>
    </row>
    <row r="18" spans="1:62" ht="15.75" thickBot="1" x14ac:dyDescent="0.3">
      <c r="A18" s="7" t="s">
        <v>501</v>
      </c>
      <c r="B18" s="169"/>
      <c r="D18" s="168">
        <f>IF(D16&lt;&gt;0,D9/D16,"")*100</f>
        <v>145.68720378892164</v>
      </c>
      <c r="E18" s="171">
        <f>IF(E16&lt;&gt;0,E9/E16,"")*100</f>
        <v>185.09844888417101</v>
      </c>
      <c r="F18" s="172">
        <f t="shared" ref="F18:BH18" si="5">IF(F16&lt;&gt;0,F9/F16,"")*100</f>
        <v>256.53690311963345</v>
      </c>
      <c r="G18" s="172">
        <f t="shared" si="5"/>
        <v>193.22210516333735</v>
      </c>
      <c r="H18" s="172">
        <f t="shared" si="5"/>
        <v>2.7593527658838797</v>
      </c>
      <c r="I18" s="172">
        <f t="shared" si="5"/>
        <v>112.33235461457396</v>
      </c>
      <c r="J18" s="172">
        <f t="shared" si="5"/>
        <v>203.9099897177168</v>
      </c>
      <c r="K18" s="172">
        <f t="shared" si="5"/>
        <v>-5.7587390505632596</v>
      </c>
      <c r="L18" s="172">
        <f t="shared" si="5"/>
        <v>306.1634324656074</v>
      </c>
      <c r="M18" s="172">
        <f t="shared" si="5"/>
        <v>126.48004633044894</v>
      </c>
      <c r="N18" s="172">
        <f t="shared" si="5"/>
        <v>236.83485384279783</v>
      </c>
      <c r="O18" s="172">
        <f t="shared" si="5"/>
        <v>154.86203390124382</v>
      </c>
      <c r="P18" s="172">
        <f t="shared" si="5"/>
        <v>97.695961176119511</v>
      </c>
      <c r="Q18" s="172">
        <f t="shared" si="5"/>
        <v>-6.2666699599440978</v>
      </c>
      <c r="R18" s="172">
        <f t="shared" si="5"/>
        <v>143.83810759113757</v>
      </c>
      <c r="S18" s="172">
        <f t="shared" si="5"/>
        <v>174.72836294120859</v>
      </c>
      <c r="T18" s="172">
        <f t="shared" si="5"/>
        <v>-22.111467080953336</v>
      </c>
      <c r="U18" s="172">
        <f t="shared" si="5"/>
        <v>79.632269151374899</v>
      </c>
      <c r="V18" s="172">
        <f t="shared" si="5"/>
        <v>145.03159884188145</v>
      </c>
      <c r="W18" s="172">
        <f t="shared" si="5"/>
        <v>137.97383884231579</v>
      </c>
      <c r="X18" s="172">
        <f t="shared" si="5"/>
        <v>-139.26324907284771</v>
      </c>
      <c r="Y18" s="172">
        <f t="shared" si="5"/>
        <v>127.32867601411854</v>
      </c>
      <c r="Z18" s="172">
        <f t="shared" si="5"/>
        <v>-137.4979058872772</v>
      </c>
      <c r="AA18" s="172">
        <f t="shared" si="5"/>
        <v>43.222150578089433</v>
      </c>
      <c r="AB18" s="172">
        <f t="shared" si="5"/>
        <v>-57.176629191295845</v>
      </c>
      <c r="AC18" s="172">
        <f t="shared" si="5"/>
        <v>99.844492044684515</v>
      </c>
      <c r="AD18" s="172">
        <f t="shared" si="5"/>
        <v>299.4744205693936</v>
      </c>
      <c r="AE18" s="172">
        <f t="shared" si="5"/>
        <v>140.05991279011397</v>
      </c>
      <c r="AF18" s="172">
        <f t="shared" si="5"/>
        <v>-177.77147192299773</v>
      </c>
      <c r="AG18" s="172">
        <f t="shared" si="5"/>
        <v>-42.124481023054472</v>
      </c>
      <c r="AH18" s="172">
        <f t="shared" si="5"/>
        <v>100.14129905585263</v>
      </c>
      <c r="AI18" s="172">
        <f t="shared" si="5"/>
        <v>-39.423731175862123</v>
      </c>
      <c r="AJ18" s="172">
        <f t="shared" si="5"/>
        <v>-355.9920133086556</v>
      </c>
      <c r="AK18" s="172">
        <f t="shared" si="5"/>
        <v>209.75122245686219</v>
      </c>
      <c r="AL18" s="172">
        <f t="shared" si="5"/>
        <v>138.04327941089991</v>
      </c>
      <c r="AM18" s="172">
        <f t="shared" si="5"/>
        <v>216.39161882292032</v>
      </c>
      <c r="AN18" s="172">
        <f t="shared" si="5"/>
        <v>266.54112582901575</v>
      </c>
      <c r="AO18" s="172">
        <f t="shared" si="5"/>
        <v>-85.770448461077038</v>
      </c>
      <c r="AP18" s="172">
        <f t="shared" si="5"/>
        <v>141.23487921551202</v>
      </c>
      <c r="AQ18" s="172">
        <f t="shared" si="5"/>
        <v>147.90055743070471</v>
      </c>
      <c r="AR18" s="172">
        <f t="shared" si="5"/>
        <v>17.644383720437119</v>
      </c>
      <c r="AS18" s="172">
        <f t="shared" si="5"/>
        <v>161.01316061114522</v>
      </c>
      <c r="AT18" s="172">
        <f t="shared" si="5"/>
        <v>225.96841640264213</v>
      </c>
      <c r="AU18" s="172">
        <f t="shared" si="5"/>
        <v>-164.1965073540089</v>
      </c>
      <c r="AV18" s="172">
        <f t="shared" si="5"/>
        <v>141.44148075518842</v>
      </c>
      <c r="AW18" s="172">
        <f t="shared" si="5"/>
        <v>122.31222258936295</v>
      </c>
      <c r="AX18" s="172">
        <f t="shared" si="5"/>
        <v>49.792534258030344</v>
      </c>
      <c r="AY18" s="172">
        <f t="shared" si="5"/>
        <v>-18.884947338287244</v>
      </c>
      <c r="AZ18" s="172">
        <f t="shared" si="5"/>
        <v>345.56767862601453</v>
      </c>
      <c r="BA18" s="172">
        <f t="shared" si="5"/>
        <v>6.0192714079151104</v>
      </c>
      <c r="BB18" s="172">
        <f t="shared" si="5"/>
        <v>191.47123927317423</v>
      </c>
      <c r="BC18" s="172">
        <f t="shared" si="5"/>
        <v>-75.837469374356232</v>
      </c>
      <c r="BD18" s="172">
        <f t="shared" si="5"/>
        <v>223.7180004619172</v>
      </c>
      <c r="BE18" s="172">
        <f t="shared" si="5"/>
        <v>117.8399126959694</v>
      </c>
      <c r="BF18" s="172">
        <f t="shared" si="5"/>
        <v>186.02369382144519</v>
      </c>
      <c r="BG18" s="172">
        <f t="shared" si="5"/>
        <v>2.6103365573209509</v>
      </c>
      <c r="BH18" s="172">
        <f t="shared" si="5"/>
        <v>159.84027995998403</v>
      </c>
      <c r="BJ18" s="13"/>
    </row>
    <row r="19" spans="1:62" x14ac:dyDescent="0.2">
      <c r="A19" s="173" t="s">
        <v>502</v>
      </c>
      <c r="B19" s="169"/>
      <c r="D19" s="13"/>
      <c r="BF19" s="13"/>
      <c r="BG19" s="13"/>
      <c r="BH19" s="13"/>
      <c r="BJ19" s="13"/>
    </row>
    <row r="20" spans="1:62" x14ac:dyDescent="0.2">
      <c r="A20" s="173"/>
      <c r="B20" s="169"/>
      <c r="D20" s="13"/>
      <c r="BF20" s="13"/>
      <c r="BG20" s="13"/>
      <c r="BH20" s="13"/>
      <c r="BJ20" s="13"/>
    </row>
    <row r="21" spans="1:62" x14ac:dyDescent="0.2">
      <c r="B21" s="169"/>
      <c r="D21" s="13"/>
      <c r="BF21" s="13"/>
      <c r="BG21" s="13"/>
      <c r="BH21" s="13"/>
      <c r="BJ21" s="13"/>
    </row>
    <row r="22" spans="1:62" ht="15" x14ac:dyDescent="0.25">
      <c r="A22" s="7" t="s">
        <v>503</v>
      </c>
      <c r="B22" s="169"/>
      <c r="D22" s="13"/>
      <c r="BF22" s="13"/>
      <c r="BG22" s="13"/>
      <c r="BH22" s="13"/>
      <c r="BJ22" s="13"/>
    </row>
    <row r="23" spans="1:62" x14ac:dyDescent="0.2">
      <c r="B23" s="169"/>
      <c r="D23" s="13"/>
      <c r="BF23" s="13"/>
      <c r="BG23" s="13"/>
      <c r="BH23" s="13"/>
      <c r="BJ23" s="13"/>
    </row>
    <row r="24" spans="1:62" x14ac:dyDescent="0.2">
      <c r="A24" s="159" t="s">
        <v>504</v>
      </c>
      <c r="B24" s="160"/>
      <c r="C24" s="174">
        <v>90</v>
      </c>
      <c r="D24" s="175">
        <f>'Base de données indicateurs1'!BF55</f>
        <v>4235594.42</v>
      </c>
      <c r="E24" s="176">
        <f>'Base de données indicateurs1'!E55</f>
        <v>-206117.81</v>
      </c>
      <c r="F24" s="176">
        <f>'Base de données indicateurs1'!F55</f>
        <v>-230931.74</v>
      </c>
      <c r="G24" s="176">
        <f>'Base de données indicateurs1'!G55</f>
        <v>277440.62</v>
      </c>
      <c r="H24" s="176">
        <f>'Base de données indicateurs1'!H55</f>
        <v>-54896.01</v>
      </c>
      <c r="I24" s="176">
        <f>'Base de données indicateurs1'!I55</f>
        <v>166774</v>
      </c>
      <c r="J24" s="176">
        <f>'Base de données indicateurs1'!J55</f>
        <v>317395</v>
      </c>
      <c r="K24" s="176">
        <f>'Base de données indicateurs1'!K55</f>
        <v>23773.27</v>
      </c>
      <c r="L24" s="176">
        <f>'Base de données indicateurs1'!L55</f>
        <v>-1042128.57</v>
      </c>
      <c r="M24" s="176">
        <f>'Base de données indicateurs1'!M55</f>
        <v>-288991.67</v>
      </c>
      <c r="N24" s="176">
        <f>'Base de données indicateurs1'!N55</f>
        <v>5101.07</v>
      </c>
      <c r="O24" s="176">
        <f>'Base de données indicateurs1'!O55</f>
        <v>383432.05</v>
      </c>
      <c r="P24" s="176">
        <f>'Base de données indicateurs1'!P55</f>
        <v>-86729.27</v>
      </c>
      <c r="Q24" s="176">
        <f>'Base de données indicateurs1'!Q55</f>
        <v>27333.61</v>
      </c>
      <c r="R24" s="176">
        <f>'Base de données indicateurs1'!R55</f>
        <v>-32883.71</v>
      </c>
      <c r="S24" s="176">
        <f>'Base de données indicateurs1'!S55</f>
        <v>137834.76999999999</v>
      </c>
      <c r="T24" s="176">
        <f>'Base de données indicateurs1'!T55</f>
        <v>100618.68</v>
      </c>
      <c r="U24" s="176">
        <f>'Base de données indicateurs1'!U55</f>
        <v>-52483.040000000001</v>
      </c>
      <c r="V24" s="176">
        <f>'Base de données indicateurs1'!V55</f>
        <v>-34441.11</v>
      </c>
      <c r="W24" s="176">
        <f>'Base de données indicateurs1'!W55</f>
        <v>418445.06</v>
      </c>
      <c r="X24" s="176">
        <f>'Base de données indicateurs1'!X55</f>
        <v>64094.42</v>
      </c>
      <c r="Y24" s="176">
        <f>'Base de données indicateurs1'!Y55</f>
        <v>762175.92</v>
      </c>
      <c r="Z24" s="176">
        <f>'Base de données indicateurs1'!Z55</f>
        <v>1866501.58</v>
      </c>
      <c r="AA24" s="176">
        <f>'Base de données indicateurs1'!AA55</f>
        <v>-116577.55</v>
      </c>
      <c r="AB24" s="176">
        <f>'Base de données indicateurs1'!AB55</f>
        <v>37709.21</v>
      </c>
      <c r="AC24" s="176">
        <f>'Base de données indicateurs1'!AC55</f>
        <v>7580.24</v>
      </c>
      <c r="AD24" s="176">
        <f>'Base de données indicateurs1'!AD55</f>
        <v>54270.14</v>
      </c>
      <c r="AE24" s="176">
        <f>'Base de données indicateurs1'!AE55</f>
        <v>-258305.8</v>
      </c>
      <c r="AF24" s="176">
        <f>'Base de données indicateurs1'!AF55</f>
        <v>-209245.59</v>
      </c>
      <c r="AG24" s="176">
        <f>'Base de données indicateurs1'!AG55</f>
        <v>570704.15</v>
      </c>
      <c r="AH24" s="176">
        <f>'Base de données indicateurs1'!AH55</f>
        <v>89717.45</v>
      </c>
      <c r="AI24" s="176">
        <f>'Base de données indicateurs1'!AI55</f>
        <v>48632.11</v>
      </c>
      <c r="AJ24" s="176">
        <f>'Base de données indicateurs1'!AJ55</f>
        <v>-49352.77</v>
      </c>
      <c r="AK24" s="176">
        <f>'Base de données indicateurs1'!AK55</f>
        <v>617262.02</v>
      </c>
      <c r="AL24" s="176">
        <f>'Base de données indicateurs1'!AL55</f>
        <v>42549</v>
      </c>
      <c r="AM24" s="176">
        <f>'Base de données indicateurs1'!AM55</f>
        <v>-22426.21</v>
      </c>
      <c r="AN24" s="176">
        <f>'Base de données indicateurs1'!AN55</f>
        <v>-9442.24</v>
      </c>
      <c r="AO24" s="176">
        <f>'Base de données indicateurs1'!AO55</f>
        <v>53245.440000000002</v>
      </c>
      <c r="AP24" s="176">
        <f>'Base de données indicateurs1'!AP55</f>
        <v>-28465.24</v>
      </c>
      <c r="AQ24" s="176">
        <f>'Base de données indicateurs1'!AQ55</f>
        <v>-105515</v>
      </c>
      <c r="AR24" s="176">
        <f>'Base de données indicateurs1'!AR55</f>
        <v>1535.82</v>
      </c>
      <c r="AS24" s="176">
        <f>'Base de données indicateurs1'!AS55</f>
        <v>163520.98000000001</v>
      </c>
      <c r="AT24" s="176">
        <f>'Base de données indicateurs1'!AT55</f>
        <v>-154372.34</v>
      </c>
      <c r="AU24" s="176">
        <f>'Base de données indicateurs1'!AU55</f>
        <v>-213500.08</v>
      </c>
      <c r="AV24" s="176">
        <f>'Base de données indicateurs1'!AV55</f>
        <v>34266.46</v>
      </c>
      <c r="AW24" s="176">
        <f>'Base de données indicateurs1'!AW55</f>
        <v>51005.88</v>
      </c>
      <c r="AX24" s="176">
        <f>'Base de données indicateurs1'!AX55</f>
        <v>-44181.13</v>
      </c>
      <c r="AY24" s="176">
        <f>'Base de données indicateurs1'!AY55</f>
        <v>-87327.44</v>
      </c>
      <c r="AZ24" s="176">
        <f>'Base de données indicateurs1'!AZ55</f>
        <v>7224.15</v>
      </c>
      <c r="BA24" s="176">
        <f>'Base de données indicateurs1'!BA55</f>
        <v>251.69</v>
      </c>
      <c r="BB24" s="176">
        <f>'Base de données indicateurs1'!BB55</f>
        <v>135911</v>
      </c>
      <c r="BC24" s="176">
        <f>'Base de données indicateurs1'!BC55</f>
        <v>1611.37</v>
      </c>
      <c r="BD24" s="176">
        <f>'Base de données indicateurs1'!BD55</f>
        <v>1042023.45</v>
      </c>
      <c r="BE24" s="176">
        <f>'Base de données indicateurs1'!BE55</f>
        <v>53968.13</v>
      </c>
      <c r="BF24" s="13">
        <f t="shared" si="0"/>
        <v>-171454.8</v>
      </c>
      <c r="BG24" s="13">
        <f t="shared" si="1"/>
        <v>2867903.5100000007</v>
      </c>
      <c r="BH24" s="13">
        <f t="shared" si="2"/>
        <v>1539145.71</v>
      </c>
      <c r="BJ24" s="13"/>
    </row>
    <row r="25" spans="1:62" x14ac:dyDescent="0.2">
      <c r="A25" s="162" t="s">
        <v>97</v>
      </c>
      <c r="B25" s="163" t="s">
        <v>224</v>
      </c>
      <c r="C25" s="162">
        <v>33</v>
      </c>
      <c r="D25" s="164">
        <f>'Base de données indicateurs1'!BF21</f>
        <v>25063349.649999999</v>
      </c>
      <c r="E25" s="13">
        <f>'Base de données indicateurs1'!E21</f>
        <v>273439.17</v>
      </c>
      <c r="F25" s="13">
        <f>'Base de données indicateurs1'!F21</f>
        <v>83034</v>
      </c>
      <c r="G25" s="13">
        <f>'Base de données indicateurs1'!G21</f>
        <v>78515.149999999994</v>
      </c>
      <c r="H25" s="13">
        <f>'Base de données indicateurs1'!H21</f>
        <v>93170.3</v>
      </c>
      <c r="I25" s="13">
        <f>'Base de données indicateurs1'!I21</f>
        <v>858686</v>
      </c>
      <c r="J25" s="13">
        <f>'Base de données indicateurs1'!J21</f>
        <v>1089085.6299999999</v>
      </c>
      <c r="K25" s="13">
        <f>'Base de données indicateurs1'!K21</f>
        <v>632517.34</v>
      </c>
      <c r="L25" s="13">
        <f>'Base de données indicateurs1'!L21</f>
        <v>5967644.75</v>
      </c>
      <c r="M25" s="13">
        <f>'Base de données indicateurs1'!M21</f>
        <v>613168.35</v>
      </c>
      <c r="N25" s="13">
        <f>'Base de données indicateurs1'!N21</f>
        <v>50799.23</v>
      </c>
      <c r="O25" s="13">
        <f>'Base de données indicateurs1'!O21</f>
        <v>1383618.3</v>
      </c>
      <c r="P25" s="13">
        <f>'Base de données indicateurs1'!P21</f>
        <v>122720.55</v>
      </c>
      <c r="Q25" s="13">
        <f>'Base de données indicateurs1'!Q21</f>
        <v>12625</v>
      </c>
      <c r="R25" s="13">
        <f>'Base de données indicateurs1'!R21</f>
        <v>87650</v>
      </c>
      <c r="S25" s="13">
        <f>'Base de données indicateurs1'!S21</f>
        <v>105668.5</v>
      </c>
      <c r="T25" s="13">
        <f>'Base de données indicateurs1'!T21</f>
        <v>168872.25</v>
      </c>
      <c r="U25" s="13">
        <f>'Base de données indicateurs1'!U21</f>
        <v>40149.85</v>
      </c>
      <c r="V25" s="13">
        <f>'Base de données indicateurs1'!V21</f>
        <v>139791.85</v>
      </c>
      <c r="W25" s="13">
        <f>'Base de données indicateurs1'!W21</f>
        <v>1101646.21</v>
      </c>
      <c r="X25" s="13">
        <f>'Base de données indicateurs1'!X21</f>
        <v>59856.25</v>
      </c>
      <c r="Y25" s="13">
        <f>'Base de données indicateurs1'!Y21</f>
        <v>296371.95</v>
      </c>
      <c r="Z25" s="13">
        <f>'Base de données indicateurs1'!Z21</f>
        <v>498784</v>
      </c>
      <c r="AA25" s="13">
        <f>'Base de données indicateurs1'!AA21</f>
        <v>98769.65</v>
      </c>
      <c r="AB25" s="13">
        <f>'Base de données indicateurs1'!AB21</f>
        <v>163116.93</v>
      </c>
      <c r="AC25" s="13">
        <f>'Base de données indicateurs1'!AC21</f>
        <v>93759.9</v>
      </c>
      <c r="AD25" s="13">
        <f>'Base de données indicateurs1'!AD21</f>
        <v>282477.59999999998</v>
      </c>
      <c r="AE25" s="13">
        <f>'Base de données indicateurs1'!AE21</f>
        <v>124708.45</v>
      </c>
      <c r="AF25" s="13">
        <f>'Base de données indicateurs1'!AF21</f>
        <v>102124.94</v>
      </c>
      <c r="AG25" s="13">
        <f>'Base de données indicateurs1'!AG21</f>
        <v>610812.23</v>
      </c>
      <c r="AH25" s="13">
        <f>'Base de données indicateurs1'!AH21</f>
        <v>775580.9</v>
      </c>
      <c r="AI25" s="13">
        <f>'Base de données indicateurs1'!AI21</f>
        <v>62896</v>
      </c>
      <c r="AJ25" s="13">
        <f>'Base de données indicateurs1'!AJ21</f>
        <v>158021.35999999999</v>
      </c>
      <c r="AK25" s="13">
        <f>'Base de données indicateurs1'!AK21</f>
        <v>423638.75</v>
      </c>
      <c r="AL25" s="13">
        <f>'Base de données indicateurs1'!AL21</f>
        <v>393262</v>
      </c>
      <c r="AM25" s="13">
        <f>'Base de données indicateurs1'!AM21</f>
        <v>270930</v>
      </c>
      <c r="AN25" s="13">
        <f>'Base de données indicateurs1'!AN21</f>
        <v>42915</v>
      </c>
      <c r="AO25" s="13">
        <f>'Base de données indicateurs1'!AO21</f>
        <v>609937.27</v>
      </c>
      <c r="AP25" s="13">
        <f>'Base de données indicateurs1'!AP21</f>
        <v>112200</v>
      </c>
      <c r="AQ25" s="13">
        <f>'Base de données indicateurs1'!AQ21</f>
        <v>224974</v>
      </c>
      <c r="AR25" s="13">
        <f>'Base de données indicateurs1'!AR21</f>
        <v>972063.07</v>
      </c>
      <c r="AS25" s="13">
        <f>'Base de données indicateurs1'!AS21</f>
        <v>174026.95</v>
      </c>
      <c r="AT25" s="13">
        <f>'Base de données indicateurs1'!AT21</f>
        <v>264605.2</v>
      </c>
      <c r="AU25" s="13">
        <f>'Base de données indicateurs1'!AU21</f>
        <v>129587.55</v>
      </c>
      <c r="AV25" s="13">
        <f>'Base de données indicateurs1'!AV21</f>
        <v>842004.6</v>
      </c>
      <c r="AW25" s="13">
        <f>'Base de données indicateurs1'!AW21</f>
        <v>115334.39999999999</v>
      </c>
      <c r="AX25" s="13">
        <f>'Base de données indicateurs1'!AX21</f>
        <v>33410</v>
      </c>
      <c r="AY25" s="13">
        <f>'Base de données indicateurs1'!AY21</f>
        <v>175965</v>
      </c>
      <c r="AZ25" s="13">
        <f>'Base de données indicateurs1'!AZ21</f>
        <v>581198.1</v>
      </c>
      <c r="BA25" s="13">
        <f>'Base de données indicateurs1'!BA21</f>
        <v>46350</v>
      </c>
      <c r="BB25" s="13">
        <f>'Base de données indicateurs1'!BB21</f>
        <v>391952</v>
      </c>
      <c r="BC25" s="13">
        <f>'Base de données indicateurs1'!BC21</f>
        <v>25245</v>
      </c>
      <c r="BD25" s="13">
        <f>'Base de données indicateurs1'!BD21</f>
        <v>2911318.17</v>
      </c>
      <c r="BE25" s="13">
        <f>'Base de données indicateurs1'!BE21</f>
        <v>92350</v>
      </c>
      <c r="BF25" s="13">
        <f t="shared" si="0"/>
        <v>12902802.43</v>
      </c>
      <c r="BG25" s="13">
        <f t="shared" si="1"/>
        <v>3327280.1599999992</v>
      </c>
      <c r="BH25" s="13">
        <f t="shared" si="2"/>
        <v>8833267.0599999987</v>
      </c>
      <c r="BJ25" s="13"/>
    </row>
    <row r="26" spans="1:62" x14ac:dyDescent="0.2">
      <c r="A26" s="162" t="s">
        <v>226</v>
      </c>
      <c r="B26" s="163" t="s">
        <v>224</v>
      </c>
      <c r="C26" s="162">
        <v>35</v>
      </c>
      <c r="D26" s="164">
        <f>'Base de données indicateurs1'!BF25</f>
        <v>2534975.8100000005</v>
      </c>
      <c r="E26" s="13">
        <f>'Base de données indicateurs1'!E25</f>
        <v>13699.95</v>
      </c>
      <c r="F26" s="13">
        <f>'Base de données indicateurs1'!F25</f>
        <v>22425.32</v>
      </c>
      <c r="G26" s="13">
        <f>'Base de données indicateurs1'!G25</f>
        <v>5326.55</v>
      </c>
      <c r="H26" s="13">
        <f>'Base de données indicateurs1'!H25</f>
        <v>0</v>
      </c>
      <c r="I26" s="13">
        <f>'Base de données indicateurs1'!I25</f>
        <v>12819.95</v>
      </c>
      <c r="J26" s="13">
        <f>'Base de données indicateurs1'!J25</f>
        <v>8240.7000000000007</v>
      </c>
      <c r="K26" s="13">
        <f>'Base de données indicateurs1'!K25</f>
        <v>29873.4</v>
      </c>
      <c r="L26" s="13">
        <f>'Base de données indicateurs1'!L25</f>
        <v>0</v>
      </c>
      <c r="M26" s="13">
        <f>'Base de données indicateurs1'!M25</f>
        <v>94598.63</v>
      </c>
      <c r="N26" s="13">
        <f>'Base de données indicateurs1'!N25</f>
        <v>19000</v>
      </c>
      <c r="O26" s="13">
        <f>'Base de données indicateurs1'!O25</f>
        <v>998890</v>
      </c>
      <c r="P26" s="13">
        <f>'Base de données indicateurs1'!P25</f>
        <v>0</v>
      </c>
      <c r="Q26" s="13">
        <f>'Base de données indicateurs1'!Q25</f>
        <v>0</v>
      </c>
      <c r="R26" s="13">
        <f>'Base de données indicateurs1'!R25</f>
        <v>0</v>
      </c>
      <c r="S26" s="13">
        <f>'Base de données indicateurs1'!S25</f>
        <v>0</v>
      </c>
      <c r="T26" s="13">
        <f>'Base de données indicateurs1'!T25</f>
        <v>0</v>
      </c>
      <c r="U26" s="13">
        <f>'Base de données indicateurs1'!U25</f>
        <v>0</v>
      </c>
      <c r="V26" s="13">
        <f>'Base de données indicateurs1'!V25</f>
        <v>0</v>
      </c>
      <c r="W26" s="13">
        <f>'Base de données indicateurs1'!W25</f>
        <v>0</v>
      </c>
      <c r="X26" s="13">
        <f>'Base de données indicateurs1'!X25</f>
        <v>28915.25</v>
      </c>
      <c r="Y26" s="13">
        <f>'Base de données indicateurs1'!Y25</f>
        <v>323.14999999999998</v>
      </c>
      <c r="Z26" s="13">
        <f>'Base de données indicateurs1'!Z25</f>
        <v>122878</v>
      </c>
      <c r="AA26" s="13">
        <f>'Base de données indicateurs1'!AA25</f>
        <v>12281.9</v>
      </c>
      <c r="AB26" s="13">
        <f>'Base de données indicateurs1'!AB25</f>
        <v>8938.7999999999993</v>
      </c>
      <c r="AC26" s="13">
        <f>'Base de données indicateurs1'!AC25</f>
        <v>12454</v>
      </c>
      <c r="AD26" s="13">
        <f>'Base de données indicateurs1'!AD25</f>
        <v>4699</v>
      </c>
      <c r="AE26" s="13">
        <f>'Base de données indicateurs1'!AE25</f>
        <v>16453.509999999998</v>
      </c>
      <c r="AF26" s="13">
        <f>'Base de données indicateurs1'!AF25</f>
        <v>0</v>
      </c>
      <c r="AG26" s="13">
        <f>'Base de données indicateurs1'!AG25</f>
        <v>32708.1</v>
      </c>
      <c r="AH26" s="13">
        <f>'Base de données indicateurs1'!AH25</f>
        <v>83053.600000000006</v>
      </c>
      <c r="AI26" s="13">
        <f>'Base de données indicateurs1'!AI25</f>
        <v>1586</v>
      </c>
      <c r="AJ26" s="13">
        <f>'Base de données indicateurs1'!AJ25</f>
        <v>3000</v>
      </c>
      <c r="AK26" s="13">
        <f>'Base de données indicateurs1'!AK25</f>
        <v>2696.1</v>
      </c>
      <c r="AL26" s="13">
        <f>'Base de données indicateurs1'!AL25</f>
        <v>44906</v>
      </c>
      <c r="AM26" s="13">
        <f>'Base de données indicateurs1'!AM25</f>
        <v>8438.27</v>
      </c>
      <c r="AN26" s="13">
        <f>'Base de données indicateurs1'!AN25</f>
        <v>0</v>
      </c>
      <c r="AO26" s="13">
        <f>'Base de données indicateurs1'!AO25</f>
        <v>0</v>
      </c>
      <c r="AP26" s="13">
        <f>'Base de données indicateurs1'!AP25</f>
        <v>10.25</v>
      </c>
      <c r="AQ26" s="13">
        <f>'Base de données indicateurs1'!AQ25</f>
        <v>1740</v>
      </c>
      <c r="AR26" s="13">
        <f>'Base de données indicateurs1'!AR25</f>
        <v>250436.1</v>
      </c>
      <c r="AS26" s="13">
        <f>'Base de données indicateurs1'!AS25</f>
        <v>114117.9</v>
      </c>
      <c r="AT26" s="13">
        <f>'Base de données indicateurs1'!AT25</f>
        <v>255280</v>
      </c>
      <c r="AU26" s="13">
        <f>'Base de données indicateurs1'!AU25</f>
        <v>1402.95</v>
      </c>
      <c r="AV26" s="13">
        <f>'Base de données indicateurs1'!AV25</f>
        <v>208371.59</v>
      </c>
      <c r="AW26" s="13">
        <f>'Base de données indicateurs1'!AW25</f>
        <v>16960</v>
      </c>
      <c r="AX26" s="13">
        <f>'Base de données indicateurs1'!AX25</f>
        <v>59.85</v>
      </c>
      <c r="AY26" s="13">
        <f>'Base de données indicateurs1'!AY25</f>
        <v>0</v>
      </c>
      <c r="AZ26" s="13">
        <f>'Base de données indicateurs1'!AZ25</f>
        <v>1391.7</v>
      </c>
      <c r="BA26" s="13">
        <f>'Base de données indicateurs1'!BA25</f>
        <v>1144.44</v>
      </c>
      <c r="BB26" s="13">
        <f>'Base de données indicateurs1'!BB25</f>
        <v>71263</v>
      </c>
      <c r="BC26" s="13">
        <f>'Base de données indicateurs1'!BC25</f>
        <v>444.15</v>
      </c>
      <c r="BD26" s="13">
        <f>'Base de données indicateurs1'!BD25</f>
        <v>13630.41</v>
      </c>
      <c r="BE26" s="13">
        <f>'Base de données indicateurs1'!BE25</f>
        <v>10517.29</v>
      </c>
      <c r="BF26" s="13">
        <f t="shared" si="0"/>
        <v>1204874.5</v>
      </c>
      <c r="BG26" s="13">
        <f t="shared" si="1"/>
        <v>327291.31</v>
      </c>
      <c r="BH26" s="13">
        <f t="shared" si="2"/>
        <v>1002809.9999999999</v>
      </c>
      <c r="BJ26" s="13"/>
    </row>
    <row r="27" spans="1:62" x14ac:dyDescent="0.2">
      <c r="A27" s="162" t="s">
        <v>173</v>
      </c>
      <c r="B27" s="163" t="s">
        <v>225</v>
      </c>
      <c r="C27" s="162">
        <v>45</v>
      </c>
      <c r="D27" s="164">
        <f>'Base de données indicateurs1'!BF48</f>
        <v>3957131.1100000003</v>
      </c>
      <c r="E27" s="13">
        <f>'Base de données indicateurs1'!E48</f>
        <v>2234.6</v>
      </c>
      <c r="F27" s="13">
        <f>'Base de données indicateurs1'!F48</f>
        <v>0</v>
      </c>
      <c r="G27" s="13">
        <f>'Base de données indicateurs1'!G48</f>
        <v>1088.3499999999999</v>
      </c>
      <c r="H27" s="13">
        <f>'Base de données indicateurs1'!H48</f>
        <v>0</v>
      </c>
      <c r="I27" s="13">
        <f>'Base de données indicateurs1'!I48</f>
        <v>15115</v>
      </c>
      <c r="J27" s="13">
        <f>'Base de données indicateurs1'!J48</f>
        <v>98995.8</v>
      </c>
      <c r="K27" s="13">
        <f>'Base de données indicateurs1'!K48</f>
        <v>156127.19</v>
      </c>
      <c r="L27" s="13">
        <f>'Base de données indicateurs1'!L48</f>
        <v>33917.85</v>
      </c>
      <c r="M27" s="13">
        <f>'Base de données indicateurs1'!M48</f>
        <v>517063.15</v>
      </c>
      <c r="N27" s="13">
        <f>'Base de données indicateurs1'!N48</f>
        <v>0</v>
      </c>
      <c r="O27" s="13">
        <f>'Base de données indicateurs1'!O48</f>
        <v>350380.1</v>
      </c>
      <c r="P27" s="13">
        <f>'Base de données indicateurs1'!P48</f>
        <v>0</v>
      </c>
      <c r="Q27" s="13">
        <f>'Base de données indicateurs1'!Q48</f>
        <v>0</v>
      </c>
      <c r="R27" s="13">
        <f>'Base de données indicateurs1'!R48</f>
        <v>990.35</v>
      </c>
      <c r="S27" s="13">
        <f>'Base de données indicateurs1'!S48</f>
        <v>808.7</v>
      </c>
      <c r="T27" s="13">
        <f>'Base de données indicateurs1'!T48</f>
        <v>1678.65</v>
      </c>
      <c r="U27" s="13">
        <f>'Base de données indicateurs1'!U48</f>
        <v>0</v>
      </c>
      <c r="V27" s="13">
        <f>'Base de données indicateurs1'!V48</f>
        <v>444.87</v>
      </c>
      <c r="W27" s="13">
        <f>'Base de données indicateurs1'!W48</f>
        <v>179280.84</v>
      </c>
      <c r="X27" s="13">
        <f>'Base de données indicateurs1'!X48</f>
        <v>51302.15</v>
      </c>
      <c r="Y27" s="13">
        <f>'Base de données indicateurs1'!Y48</f>
        <v>8671.75</v>
      </c>
      <c r="Z27" s="13">
        <f>'Base de données indicateurs1'!Z48</f>
        <v>136701.20000000001</v>
      </c>
      <c r="AA27" s="13">
        <f>'Base de données indicateurs1'!AA48</f>
        <v>0</v>
      </c>
      <c r="AB27" s="13">
        <f>'Base de données indicateurs1'!AB48</f>
        <v>169413.48</v>
      </c>
      <c r="AC27" s="13">
        <f>'Base de données indicateurs1'!AC48</f>
        <v>0</v>
      </c>
      <c r="AD27" s="13">
        <f>'Base de données indicateurs1'!AD48</f>
        <v>88471.7</v>
      </c>
      <c r="AE27" s="13">
        <f>'Base de données indicateurs1'!AE48</f>
        <v>2369.5</v>
      </c>
      <c r="AF27" s="13">
        <f>'Base de données indicateurs1'!AF48</f>
        <v>1253.05</v>
      </c>
      <c r="AG27" s="13">
        <f>'Base de données indicateurs1'!AG48</f>
        <v>58798.2</v>
      </c>
      <c r="AH27" s="13">
        <f>'Base de données indicateurs1'!AH48</f>
        <v>9358</v>
      </c>
      <c r="AI27" s="13">
        <f>'Base de données indicateurs1'!AI48</f>
        <v>517</v>
      </c>
      <c r="AJ27" s="13">
        <f>'Base de données indicateurs1'!AJ48</f>
        <v>149801.35999999999</v>
      </c>
      <c r="AK27" s="13">
        <f>'Base de données indicateurs1'!AK48</f>
        <v>0</v>
      </c>
      <c r="AL27" s="13">
        <f>'Base de données indicateurs1'!AL48</f>
        <v>44220</v>
      </c>
      <c r="AM27" s="13">
        <f>'Base de données indicateurs1'!AM48</f>
        <v>28000</v>
      </c>
      <c r="AN27" s="13">
        <f>'Base de données indicateurs1'!AN48</f>
        <v>272.8</v>
      </c>
      <c r="AO27" s="13">
        <f>'Base de données indicateurs1'!AO48</f>
        <v>10000</v>
      </c>
      <c r="AP27" s="13">
        <f>'Base de données indicateurs1'!AP48</f>
        <v>1412.5</v>
      </c>
      <c r="AQ27" s="13">
        <f>'Base de données indicateurs1'!AQ48</f>
        <v>0</v>
      </c>
      <c r="AR27" s="13">
        <f>'Base de données indicateurs1'!AR48</f>
        <v>856437.03</v>
      </c>
      <c r="AS27" s="13">
        <f>'Base de données indicateurs1'!AS48</f>
        <v>91012.75</v>
      </c>
      <c r="AT27" s="13">
        <f>'Base de données indicateurs1'!AT48</f>
        <v>107462.21</v>
      </c>
      <c r="AU27" s="13">
        <f>'Base de données indicateurs1'!AU48</f>
        <v>60060.6</v>
      </c>
      <c r="AV27" s="13">
        <f>'Base de données indicateurs1'!AV48</f>
        <v>321941.75</v>
      </c>
      <c r="AW27" s="13">
        <f>'Base de données indicateurs1'!AW48</f>
        <v>10958.95</v>
      </c>
      <c r="AX27" s="13">
        <f>'Base de données indicateurs1'!AX48</f>
        <v>436.1</v>
      </c>
      <c r="AY27" s="13">
        <f>'Base de données indicateurs1'!AY48</f>
        <v>792</v>
      </c>
      <c r="AZ27" s="13">
        <f>'Base de données indicateurs1'!AZ48</f>
        <v>70983.350000000006</v>
      </c>
      <c r="BA27" s="13">
        <f>'Base de données indicateurs1'!BA48</f>
        <v>4500</v>
      </c>
      <c r="BB27" s="13">
        <f>'Base de données indicateurs1'!BB48</f>
        <v>53022</v>
      </c>
      <c r="BC27" s="13">
        <f>'Base de données indicateurs1'!BC48</f>
        <v>0</v>
      </c>
      <c r="BD27" s="13">
        <f>'Base de données indicateurs1'!BD48</f>
        <v>204344.33</v>
      </c>
      <c r="BE27" s="13">
        <f>'Base de données indicateurs1'!BE48</f>
        <v>56491.9</v>
      </c>
      <c r="BF27" s="13">
        <f t="shared" si="0"/>
        <v>1358125.4500000002</v>
      </c>
      <c r="BG27" s="13">
        <f t="shared" si="1"/>
        <v>676657.39</v>
      </c>
      <c r="BH27" s="13">
        <f t="shared" si="2"/>
        <v>1922348.2700000003</v>
      </c>
      <c r="BJ27" s="13"/>
    </row>
    <row r="28" spans="1:62" x14ac:dyDescent="0.2">
      <c r="A28" s="162" t="s">
        <v>505</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c r="BJ28" s="13"/>
    </row>
    <row r="29" spans="1:62" x14ac:dyDescent="0.2">
      <c r="A29" s="162" t="s">
        <v>506</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c r="BJ29" s="13"/>
    </row>
    <row r="30" spans="1:62" x14ac:dyDescent="0.2">
      <c r="A30" s="162" t="s">
        <v>507</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c r="BJ30" s="13"/>
    </row>
    <row r="31" spans="1:62" x14ac:dyDescent="0.2">
      <c r="A31" s="162" t="s">
        <v>508</v>
      </c>
      <c r="B31" s="163" t="s">
        <v>224</v>
      </c>
      <c r="C31" s="162">
        <v>389</v>
      </c>
      <c r="D31" s="164">
        <f>'Base de données indicateurs1'!BF32</f>
        <v>6477878.1200000001</v>
      </c>
      <c r="E31" s="13">
        <f>'Base de données indicateurs1'!E32</f>
        <v>0</v>
      </c>
      <c r="F31" s="13">
        <f>'Base de données indicateurs1'!F32</f>
        <v>0</v>
      </c>
      <c r="G31" s="13">
        <f>'Base de données indicateurs1'!G32</f>
        <v>0</v>
      </c>
      <c r="H31" s="13">
        <f>'Base de données indicateurs1'!H32</f>
        <v>0</v>
      </c>
      <c r="I31" s="13">
        <f>'Base de données indicateurs1'!I32</f>
        <v>300000</v>
      </c>
      <c r="J31" s="13">
        <f>'Base de données indicateurs1'!J32</f>
        <v>0</v>
      </c>
      <c r="K31" s="13">
        <f>'Base de données indicateurs1'!K32</f>
        <v>650000</v>
      </c>
      <c r="L31" s="13">
        <f>'Base de données indicateurs1'!L32</f>
        <v>0</v>
      </c>
      <c r="M31" s="13">
        <f>'Base de données indicateurs1'!M32</f>
        <v>0</v>
      </c>
      <c r="N31" s="13">
        <f>'Base de données indicateurs1'!N32</f>
        <v>0</v>
      </c>
      <c r="O31" s="13">
        <f>'Base de données indicateurs1'!O32</f>
        <v>383300</v>
      </c>
      <c r="P31" s="13">
        <f>'Base de données indicateurs1'!P32</f>
        <v>337.1</v>
      </c>
      <c r="Q31" s="13">
        <f>'Base de données indicateurs1'!Q32</f>
        <v>0</v>
      </c>
      <c r="R31" s="13">
        <f>'Base de données indicateurs1'!R32</f>
        <v>0</v>
      </c>
      <c r="S31" s="13">
        <f>'Base de données indicateurs1'!S32</f>
        <v>0</v>
      </c>
      <c r="T31" s="13">
        <f>'Base de données indicateurs1'!T32</f>
        <v>95000</v>
      </c>
      <c r="U31" s="13">
        <f>'Base de données indicateurs1'!U32</f>
        <v>0</v>
      </c>
      <c r="V31" s="13">
        <f>'Base de données indicateurs1'!V32</f>
        <v>0</v>
      </c>
      <c r="W31" s="13">
        <f>'Base de données indicateurs1'!W32</f>
        <v>600000</v>
      </c>
      <c r="X31" s="13">
        <f>'Base de données indicateurs1'!X32</f>
        <v>0</v>
      </c>
      <c r="Y31" s="13">
        <f>'Base de données indicateurs1'!Y32</f>
        <v>0</v>
      </c>
      <c r="Z31" s="13">
        <f>'Base de données indicateurs1'!Z32</f>
        <v>1000000</v>
      </c>
      <c r="AA31" s="13">
        <f>'Base de données indicateurs1'!AA32</f>
        <v>0</v>
      </c>
      <c r="AB31" s="13">
        <f>'Base de données indicateurs1'!AB32</f>
        <v>35000</v>
      </c>
      <c r="AC31" s="13">
        <f>'Base de données indicateurs1'!AC32</f>
        <v>0</v>
      </c>
      <c r="AD31" s="13">
        <f>'Base de données indicateurs1'!AD32</f>
        <v>0</v>
      </c>
      <c r="AE31" s="13">
        <f>'Base de données indicateurs1'!AE32</f>
        <v>0</v>
      </c>
      <c r="AF31" s="13">
        <f>'Base de données indicateurs1'!AF32</f>
        <v>0</v>
      </c>
      <c r="AG31" s="13">
        <f>'Base de données indicateurs1'!AG32</f>
        <v>0</v>
      </c>
      <c r="AH31" s="13">
        <f>'Base de données indicateurs1'!AH32</f>
        <v>350000</v>
      </c>
      <c r="AI31" s="13">
        <f>'Base de données indicateurs1'!AI32</f>
        <v>0</v>
      </c>
      <c r="AJ31" s="13">
        <f>'Base de données indicateurs1'!AJ32</f>
        <v>170000</v>
      </c>
      <c r="AK31" s="13">
        <f>'Base de données indicateurs1'!AK32</f>
        <v>367367.02</v>
      </c>
      <c r="AL31" s="13">
        <f>'Base de données indicateurs1'!AL32</f>
        <v>43343</v>
      </c>
      <c r="AM31" s="13">
        <f>'Base de données indicateurs1'!AM32</f>
        <v>0</v>
      </c>
      <c r="AN31" s="13">
        <f>'Base de données indicateurs1'!AN32</f>
        <v>12358</v>
      </c>
      <c r="AO31" s="13">
        <f>'Base de données indicateurs1'!AO32</f>
        <v>1900000</v>
      </c>
      <c r="AP31" s="13">
        <f>'Base de données indicateurs1'!AP32</f>
        <v>0</v>
      </c>
      <c r="AQ31" s="13">
        <f>'Base de données indicateurs1'!AQ32</f>
        <v>0</v>
      </c>
      <c r="AR31" s="13">
        <f>'Base de données indicateurs1'!AR32</f>
        <v>20000</v>
      </c>
      <c r="AS31" s="13">
        <f>'Base de données indicateurs1'!AS32</f>
        <v>0</v>
      </c>
      <c r="AT31" s="13">
        <f>'Base de données indicateurs1'!AT32</f>
        <v>0</v>
      </c>
      <c r="AU31" s="13">
        <f>'Base de données indicateurs1'!AU32</f>
        <v>0</v>
      </c>
      <c r="AV31" s="13">
        <f>'Base de données indicateurs1'!AV32</f>
        <v>100000</v>
      </c>
      <c r="AW31" s="13">
        <f>'Base de données indicateurs1'!AW32</f>
        <v>200000</v>
      </c>
      <c r="AX31" s="13">
        <f>'Base de données indicateurs1'!AX32</f>
        <v>0</v>
      </c>
      <c r="AY31" s="13">
        <f>'Base de données indicateurs1'!AY32</f>
        <v>0</v>
      </c>
      <c r="AZ31" s="13">
        <f>'Base de données indicateurs1'!AZ32</f>
        <v>0</v>
      </c>
      <c r="BA31" s="13">
        <f>'Base de données indicateurs1'!BA32</f>
        <v>920</v>
      </c>
      <c r="BB31" s="13">
        <f>'Base de données indicateurs1'!BB32</f>
        <v>250253</v>
      </c>
      <c r="BC31" s="13">
        <f>'Base de données indicateurs1'!BC32</f>
        <v>0</v>
      </c>
      <c r="BD31" s="13">
        <f>'Base de données indicateurs1'!BD32</f>
        <v>0</v>
      </c>
      <c r="BE31" s="13">
        <f>'Base de données indicateurs1'!BE32</f>
        <v>0</v>
      </c>
      <c r="BF31" s="13">
        <f t="shared" si="0"/>
        <v>2028637.1</v>
      </c>
      <c r="BG31" s="13">
        <f t="shared" si="1"/>
        <v>1555000</v>
      </c>
      <c r="BH31" s="13">
        <f t="shared" si="2"/>
        <v>2894241.02</v>
      </c>
      <c r="BJ31" s="13"/>
    </row>
    <row r="32" spans="1:62" x14ac:dyDescent="0.2">
      <c r="A32" s="162" t="s">
        <v>232</v>
      </c>
      <c r="B32" s="163" t="s">
        <v>225</v>
      </c>
      <c r="C32" s="162">
        <v>489</v>
      </c>
      <c r="D32" s="164">
        <f>'Base de données indicateurs1'!BF52</f>
        <v>4143888.6699999995</v>
      </c>
      <c r="E32" s="13">
        <f>'Base de données indicateurs1'!E52</f>
        <v>7472.67</v>
      </c>
      <c r="F32" s="13">
        <f>'Base de données indicateurs1'!F52</f>
        <v>0</v>
      </c>
      <c r="G32" s="13">
        <f>'Base de données indicateurs1'!G52</f>
        <v>0</v>
      </c>
      <c r="H32" s="13">
        <f>'Base de données indicateurs1'!H52</f>
        <v>0</v>
      </c>
      <c r="I32" s="13">
        <f>'Base de données indicateurs1'!I52</f>
        <v>0</v>
      </c>
      <c r="J32" s="13">
        <f>'Base de données indicateurs1'!J52</f>
        <v>190359.86</v>
      </c>
      <c r="K32" s="13">
        <f>'Base de données indicateurs1'!K52</f>
        <v>0</v>
      </c>
      <c r="L32" s="13">
        <f>'Base de données indicateurs1'!L52</f>
        <v>2500000</v>
      </c>
      <c r="M32" s="13">
        <f>'Base de données indicateurs1'!M52</f>
        <v>10700</v>
      </c>
      <c r="N32" s="13">
        <f>'Base de données indicateurs1'!N52</f>
        <v>0</v>
      </c>
      <c r="O32" s="13">
        <f>'Base de données indicateurs1'!O52</f>
        <v>60684.04</v>
      </c>
      <c r="P32" s="13">
        <f>'Base de données indicateurs1'!P52</f>
        <v>29578.3</v>
      </c>
      <c r="Q32" s="13">
        <f>'Base de données indicateurs1'!Q52</f>
        <v>0</v>
      </c>
      <c r="R32" s="13">
        <f>'Base de données indicateurs1'!R52</f>
        <v>0</v>
      </c>
      <c r="S32" s="13">
        <f>'Base de données indicateurs1'!S52</f>
        <v>240001.25</v>
      </c>
      <c r="T32" s="13">
        <f>'Base de données indicateurs1'!T52</f>
        <v>26100</v>
      </c>
      <c r="U32" s="13">
        <f>'Base de données indicateurs1'!U52</f>
        <v>40667.550000000003</v>
      </c>
      <c r="V32" s="13">
        <f>'Base de données indicateurs1'!V52</f>
        <v>0</v>
      </c>
      <c r="W32" s="13">
        <f>'Base de données indicateurs1'!W52</f>
        <v>133028</v>
      </c>
      <c r="X32" s="13">
        <f>'Base de données indicateurs1'!X52</f>
        <v>0</v>
      </c>
      <c r="Y32" s="13">
        <f>'Base de données indicateurs1'!Y52</f>
        <v>0</v>
      </c>
      <c r="Z32" s="13">
        <f>'Base de données indicateurs1'!Z52</f>
        <v>0</v>
      </c>
      <c r="AA32" s="13">
        <f>'Base de données indicateurs1'!AA52</f>
        <v>0</v>
      </c>
      <c r="AB32" s="13">
        <f>'Base de données indicateurs1'!AB52</f>
        <v>0</v>
      </c>
      <c r="AC32" s="13">
        <f>'Base de données indicateurs1'!AC52</f>
        <v>0</v>
      </c>
      <c r="AD32" s="13">
        <f>'Base de données indicateurs1'!AD52</f>
        <v>0</v>
      </c>
      <c r="AE32" s="13">
        <f>'Base de données indicateurs1'!AE52</f>
        <v>96</v>
      </c>
      <c r="AF32" s="13">
        <f>'Base de données indicateurs1'!AF52</f>
        <v>0</v>
      </c>
      <c r="AG32" s="13">
        <f>'Base de données indicateurs1'!AG52</f>
        <v>0</v>
      </c>
      <c r="AH32" s="13">
        <f>'Base de données indicateurs1'!AH52</f>
        <v>0</v>
      </c>
      <c r="AI32" s="13">
        <f>'Base de données indicateurs1'!AI52</f>
        <v>0</v>
      </c>
      <c r="AJ32" s="13">
        <f>'Base de données indicateurs1'!AJ52</f>
        <v>0</v>
      </c>
      <c r="AK32" s="13">
        <f>'Base de données indicateurs1'!AK52</f>
        <v>0</v>
      </c>
      <c r="AL32" s="13">
        <f>'Base de données indicateurs1'!AL52</f>
        <v>40000</v>
      </c>
      <c r="AM32" s="13">
        <f>'Base de données indicateurs1'!AM52</f>
        <v>0</v>
      </c>
      <c r="AN32" s="13">
        <f>'Base de données indicateurs1'!AN52</f>
        <v>4800</v>
      </c>
      <c r="AO32" s="13">
        <f>'Base de données indicateurs1'!AO52</f>
        <v>0</v>
      </c>
      <c r="AP32" s="13">
        <f>'Base de données indicateurs1'!AP52</f>
        <v>0</v>
      </c>
      <c r="AQ32" s="13">
        <f>'Base de données indicateurs1'!AQ52</f>
        <v>130567</v>
      </c>
      <c r="AR32" s="13">
        <f>'Base de données indicateurs1'!AR52</f>
        <v>0</v>
      </c>
      <c r="AS32" s="13">
        <f>'Base de données indicateurs1'!AS52</f>
        <v>422</v>
      </c>
      <c r="AT32" s="13">
        <f>'Base de données indicateurs1'!AT52</f>
        <v>20000</v>
      </c>
      <c r="AU32" s="13">
        <f>'Base de données indicateurs1'!AU52</f>
        <v>50338</v>
      </c>
      <c r="AV32" s="13">
        <f>'Base de données indicateurs1'!AV52</f>
        <v>0</v>
      </c>
      <c r="AW32" s="13">
        <f>'Base de données indicateurs1'!AW52</f>
        <v>633</v>
      </c>
      <c r="AX32" s="13">
        <f>'Base de données indicateurs1'!AX52</f>
        <v>5207</v>
      </c>
      <c r="AY32" s="13">
        <f>'Base de données indicateurs1'!AY52</f>
        <v>0</v>
      </c>
      <c r="AZ32" s="13">
        <f>'Base de données indicateurs1'!AZ52</f>
        <v>151597</v>
      </c>
      <c r="BA32" s="13">
        <f>'Base de données indicateurs1'!BA52</f>
        <v>319</v>
      </c>
      <c r="BB32" s="13">
        <f>'Base de données indicateurs1'!BB52</f>
        <v>1083</v>
      </c>
      <c r="BC32" s="13">
        <f>'Base de données indicateurs1'!BC52</f>
        <v>235</v>
      </c>
      <c r="BD32" s="13">
        <f>'Base de données indicateurs1'!BD52</f>
        <v>500000</v>
      </c>
      <c r="BE32" s="13">
        <f>'Base de données indicateurs1'!BE52</f>
        <v>0</v>
      </c>
      <c r="BF32" s="13">
        <f t="shared" si="0"/>
        <v>3238591.6699999995</v>
      </c>
      <c r="BG32" s="13">
        <f t="shared" si="1"/>
        <v>96</v>
      </c>
      <c r="BH32" s="13">
        <f t="shared" si="2"/>
        <v>905201</v>
      </c>
      <c r="BJ32" s="13"/>
    </row>
    <row r="33" spans="1:62" x14ac:dyDescent="0.2">
      <c r="A33" s="162" t="s">
        <v>509</v>
      </c>
      <c r="B33" s="163" t="s">
        <v>225</v>
      </c>
      <c r="C33" s="162">
        <v>4490</v>
      </c>
      <c r="D33" s="164">
        <f>'Base de données indicateurs1'!BF47</f>
        <v>8461.2900000000009</v>
      </c>
      <c r="E33" s="13">
        <f>'Base de données indicateurs1'!E47</f>
        <v>0</v>
      </c>
      <c r="F33" s="13">
        <f>'Base de données indicateurs1'!F47</f>
        <v>0</v>
      </c>
      <c r="G33" s="13">
        <f>'Base de données indicateurs1'!G47</f>
        <v>0</v>
      </c>
      <c r="H33" s="13">
        <f>'Base de données indicateurs1'!H47</f>
        <v>0</v>
      </c>
      <c r="I33" s="13">
        <f>'Base de données indicateurs1'!I47</f>
        <v>0</v>
      </c>
      <c r="J33" s="13">
        <f>'Base de données indicateurs1'!J47</f>
        <v>0</v>
      </c>
      <c r="K33" s="13">
        <f>'Base de données indicateurs1'!K47</f>
        <v>0</v>
      </c>
      <c r="L33" s="13">
        <f>'Base de données indicateurs1'!L47</f>
        <v>0</v>
      </c>
      <c r="M33" s="13">
        <f>'Base de données indicateurs1'!M47</f>
        <v>0</v>
      </c>
      <c r="N33" s="13">
        <f>'Base de données indicateurs1'!N47</f>
        <v>0</v>
      </c>
      <c r="O33" s="13">
        <f>'Base de données indicateurs1'!O47</f>
        <v>8461.2900000000009</v>
      </c>
      <c r="P33" s="13">
        <f>'Base de données indicateurs1'!P47</f>
        <v>0</v>
      </c>
      <c r="Q33" s="13">
        <f>'Base de données indicateurs1'!Q47</f>
        <v>0</v>
      </c>
      <c r="R33" s="13">
        <f>'Base de données indicateurs1'!R47</f>
        <v>0</v>
      </c>
      <c r="S33" s="13">
        <f>'Base de données indicateurs1'!S47</f>
        <v>0</v>
      </c>
      <c r="T33" s="13">
        <f>'Base de données indicateurs1'!T47</f>
        <v>0</v>
      </c>
      <c r="U33" s="13">
        <f>'Base de données indicateurs1'!U47</f>
        <v>0</v>
      </c>
      <c r="V33" s="13">
        <f>'Base de données indicateurs1'!V47</f>
        <v>0</v>
      </c>
      <c r="W33" s="13">
        <f>'Base de données indicateurs1'!W47</f>
        <v>0</v>
      </c>
      <c r="X33" s="13">
        <f>'Base de données indicateurs1'!X47</f>
        <v>0</v>
      </c>
      <c r="Y33" s="13">
        <f>'Base de données indicateurs1'!Y47</f>
        <v>0</v>
      </c>
      <c r="Z33" s="13">
        <f>'Base de données indicateurs1'!Z47</f>
        <v>0</v>
      </c>
      <c r="AA33" s="13">
        <f>'Base de données indicateurs1'!AA47</f>
        <v>0</v>
      </c>
      <c r="AB33" s="13">
        <f>'Base de données indicateurs1'!AB47</f>
        <v>0</v>
      </c>
      <c r="AC33" s="13">
        <f>'Base de données indicateurs1'!AC47</f>
        <v>0</v>
      </c>
      <c r="AD33" s="13">
        <f>'Base de données indicateurs1'!AD47</f>
        <v>0</v>
      </c>
      <c r="AE33" s="13">
        <f>'Base de données indicateurs1'!AE47</f>
        <v>0</v>
      </c>
      <c r="AF33" s="13">
        <f>'Base de données indicateurs1'!AF47</f>
        <v>0</v>
      </c>
      <c r="AG33" s="13">
        <f>'Base de données indicateurs1'!AG47</f>
        <v>0</v>
      </c>
      <c r="AH33" s="13">
        <f>'Base de données indicateurs1'!AH47</f>
        <v>0</v>
      </c>
      <c r="AI33" s="13">
        <f>'Base de données indicateurs1'!AI47</f>
        <v>0</v>
      </c>
      <c r="AJ33" s="13">
        <f>'Base de données indicateurs1'!AJ47</f>
        <v>0</v>
      </c>
      <c r="AK33" s="13">
        <f>'Base de données indicateurs1'!AK47</f>
        <v>0</v>
      </c>
      <c r="AL33" s="13">
        <f>'Base de données indicateurs1'!AL47</f>
        <v>0</v>
      </c>
      <c r="AM33" s="13">
        <f>'Base de données indicateurs1'!AM47</f>
        <v>0</v>
      </c>
      <c r="AN33" s="13">
        <f>'Base de données indicateurs1'!AN47</f>
        <v>0</v>
      </c>
      <c r="AO33" s="13">
        <f>'Base de données indicateurs1'!AO47</f>
        <v>0</v>
      </c>
      <c r="AP33" s="13">
        <f>'Base de données indicateurs1'!AP47</f>
        <v>0</v>
      </c>
      <c r="AQ33" s="13">
        <f>'Base de données indicateurs1'!AQ47</f>
        <v>0</v>
      </c>
      <c r="AR33" s="13">
        <f>'Base de données indicateurs1'!AR47</f>
        <v>0</v>
      </c>
      <c r="AS33" s="13">
        <f>'Base de données indicateurs1'!AS47</f>
        <v>0</v>
      </c>
      <c r="AT33" s="13">
        <f>'Base de données indicateurs1'!AT47</f>
        <v>0</v>
      </c>
      <c r="AU33" s="13">
        <f>'Base de données indicateurs1'!AU47</f>
        <v>0</v>
      </c>
      <c r="AV33" s="13">
        <f>'Base de données indicateurs1'!AV47</f>
        <v>0</v>
      </c>
      <c r="AW33" s="13">
        <f>'Base de données indicateurs1'!AW47</f>
        <v>0</v>
      </c>
      <c r="AX33" s="13">
        <f>'Base de données indicateurs1'!AX47</f>
        <v>0</v>
      </c>
      <c r="AY33" s="13">
        <f>'Base de données indicateurs1'!AY47</f>
        <v>0</v>
      </c>
      <c r="AZ33" s="13">
        <f>'Base de données indicateurs1'!AZ47</f>
        <v>0</v>
      </c>
      <c r="BA33" s="13">
        <f>'Base de données indicateurs1'!BA47</f>
        <v>0</v>
      </c>
      <c r="BB33" s="13">
        <f>'Base de données indicateurs1'!BB47</f>
        <v>0</v>
      </c>
      <c r="BC33" s="13">
        <f>'Base de données indicateurs1'!BC47</f>
        <v>0</v>
      </c>
      <c r="BD33" s="13">
        <f>'Base de données indicateurs1'!BD47</f>
        <v>0</v>
      </c>
      <c r="BE33" s="13">
        <f>'Base de données indicateurs1'!BE47</f>
        <v>0</v>
      </c>
      <c r="BF33" s="13">
        <f t="shared" si="0"/>
        <v>8461.2900000000009</v>
      </c>
      <c r="BG33" s="13">
        <f t="shared" si="1"/>
        <v>0</v>
      </c>
      <c r="BH33" s="13">
        <f t="shared" si="2"/>
        <v>0</v>
      </c>
      <c r="BJ33" s="13"/>
    </row>
    <row r="34" spans="1:62" ht="15" thickBot="1" x14ac:dyDescent="0.25">
      <c r="B34" s="169"/>
      <c r="D34" s="13"/>
      <c r="BF34" s="13"/>
      <c r="BG34" s="13"/>
      <c r="BH34" s="13"/>
      <c r="BJ34" s="13"/>
    </row>
    <row r="35" spans="1:62" ht="15.75" thickBot="1" x14ac:dyDescent="0.3">
      <c r="A35" s="7" t="s">
        <v>510</v>
      </c>
      <c r="B35" s="112"/>
      <c r="C35" s="7"/>
      <c r="D35" s="168">
        <f>SUM(D24:D26,D28:D31)-SUM(D27,D32:D33)</f>
        <v>30452873.009999998</v>
      </c>
      <c r="E35" s="177">
        <f>SUM(E24:E26,E28:E31)-SUM(E27,E32:E33)</f>
        <v>79219.329999999973</v>
      </c>
      <c r="F35" s="167">
        <f t="shared" ref="F35:BE35" si="6">SUM(F24:F26,F28:F31)-SUM(F27,F32:F33)</f>
        <v>-125472.41999999998</v>
      </c>
      <c r="G35" s="167">
        <f t="shared" si="6"/>
        <v>360193.97000000003</v>
      </c>
      <c r="H35" s="167">
        <f t="shared" si="6"/>
        <v>38274.29</v>
      </c>
      <c r="I35" s="167">
        <f t="shared" si="6"/>
        <v>1324905.95</v>
      </c>
      <c r="J35" s="167">
        <f t="shared" si="6"/>
        <v>1125365.67</v>
      </c>
      <c r="K35" s="167">
        <f t="shared" si="6"/>
        <v>1180036.82</v>
      </c>
      <c r="L35" s="167">
        <f t="shared" si="6"/>
        <v>2391598.3299999996</v>
      </c>
      <c r="M35" s="167">
        <f t="shared" si="6"/>
        <v>-98287.840000000026</v>
      </c>
      <c r="N35" s="167">
        <f t="shared" si="6"/>
        <v>74900.3</v>
      </c>
      <c r="O35" s="167">
        <f t="shared" si="6"/>
        <v>2800717.16</v>
      </c>
      <c r="P35" s="167">
        <f t="shared" si="6"/>
        <v>6750.0799999999981</v>
      </c>
      <c r="Q35" s="167">
        <f t="shared" si="6"/>
        <v>39958.61</v>
      </c>
      <c r="R35" s="167">
        <f t="shared" si="6"/>
        <v>53775.94</v>
      </c>
      <c r="S35" s="167">
        <f t="shared" si="6"/>
        <v>2693.3199999999779</v>
      </c>
      <c r="T35" s="167">
        <f t="shared" si="6"/>
        <v>336712.27999999997</v>
      </c>
      <c r="U35" s="167">
        <f t="shared" si="6"/>
        <v>-44233.19</v>
      </c>
      <c r="V35" s="167">
        <f t="shared" si="6"/>
        <v>104905.87000000001</v>
      </c>
      <c r="W35" s="167">
        <f t="shared" si="6"/>
        <v>1940810.4300000002</v>
      </c>
      <c r="X35" s="167">
        <f t="shared" si="6"/>
        <v>101563.76999999999</v>
      </c>
      <c r="Y35" s="167">
        <f t="shared" si="6"/>
        <v>1050199.27</v>
      </c>
      <c r="Z35" s="167">
        <f t="shared" si="6"/>
        <v>3351462.38</v>
      </c>
      <c r="AA35" s="167">
        <f t="shared" si="6"/>
        <v>-5526.0000000000091</v>
      </c>
      <c r="AB35" s="167">
        <f t="shared" si="6"/>
        <v>75351.459999999963</v>
      </c>
      <c r="AC35" s="167">
        <f t="shared" si="6"/>
        <v>113794.14</v>
      </c>
      <c r="AD35" s="167">
        <f t="shared" si="6"/>
        <v>252975.03999999998</v>
      </c>
      <c r="AE35" s="167">
        <f t="shared" si="6"/>
        <v>-119609.33999999998</v>
      </c>
      <c r="AF35" s="167">
        <f t="shared" si="6"/>
        <v>-108373.7</v>
      </c>
      <c r="AG35" s="167">
        <f t="shared" si="6"/>
        <v>1155426.28</v>
      </c>
      <c r="AH35" s="167">
        <f t="shared" si="6"/>
        <v>1288993.95</v>
      </c>
      <c r="AI35" s="167">
        <f t="shared" si="6"/>
        <v>112597.11</v>
      </c>
      <c r="AJ35" s="167">
        <f t="shared" si="6"/>
        <v>131867.22999999998</v>
      </c>
      <c r="AK35" s="167">
        <f t="shared" si="6"/>
        <v>1410963.8900000001</v>
      </c>
      <c r="AL35" s="167">
        <f t="shared" si="6"/>
        <v>439840</v>
      </c>
      <c r="AM35" s="167">
        <f t="shared" si="6"/>
        <v>228942.06</v>
      </c>
      <c r="AN35" s="167">
        <f t="shared" si="6"/>
        <v>40757.96</v>
      </c>
      <c r="AO35" s="167">
        <f t="shared" si="6"/>
        <v>2553182.71</v>
      </c>
      <c r="AP35" s="167">
        <f t="shared" si="6"/>
        <v>82332.509999999995</v>
      </c>
      <c r="AQ35" s="167">
        <f t="shared" si="6"/>
        <v>-9368</v>
      </c>
      <c r="AR35" s="167">
        <f t="shared" si="6"/>
        <v>387597.95999999996</v>
      </c>
      <c r="AS35" s="167">
        <f t="shared" si="6"/>
        <v>360231.08000000007</v>
      </c>
      <c r="AT35" s="167">
        <f t="shared" si="6"/>
        <v>238050.64999999997</v>
      </c>
      <c r="AU35" s="167">
        <f t="shared" si="6"/>
        <v>-192570.18</v>
      </c>
      <c r="AV35" s="167">
        <f t="shared" si="6"/>
        <v>862700.89999999991</v>
      </c>
      <c r="AW35" s="167">
        <f t="shared" si="6"/>
        <v>372341.33</v>
      </c>
      <c r="AX35" s="167">
        <f t="shared" si="6"/>
        <v>-16147.379999999997</v>
      </c>
      <c r="AY35" s="167">
        <f t="shared" si="6"/>
        <v>87845.56</v>
      </c>
      <c r="AZ35" s="167">
        <f t="shared" si="6"/>
        <v>381830.6</v>
      </c>
      <c r="BA35" s="167">
        <f t="shared" si="6"/>
        <v>44166.130000000005</v>
      </c>
      <c r="BB35" s="167">
        <f t="shared" si="6"/>
        <v>796357</v>
      </c>
      <c r="BC35" s="167">
        <f t="shared" si="6"/>
        <v>27300.52</v>
      </c>
      <c r="BD35" s="167">
        <f t="shared" si="6"/>
        <v>3262627.7</v>
      </c>
      <c r="BE35" s="167">
        <f t="shared" si="6"/>
        <v>100343.52000000002</v>
      </c>
      <c r="BF35" s="13">
        <f t="shared" si="0"/>
        <v>11592824.899999997</v>
      </c>
      <c r="BG35" s="13">
        <f t="shared" si="1"/>
        <v>7400721.5899999999</v>
      </c>
      <c r="BH35" s="13">
        <f t="shared" si="2"/>
        <v>11459326.52</v>
      </c>
      <c r="BJ35" s="13"/>
    </row>
    <row r="36" spans="1:62" x14ac:dyDescent="0.2">
      <c r="B36" s="169"/>
      <c r="D36" s="13"/>
      <c r="BF36" s="13"/>
      <c r="BG36" s="13"/>
      <c r="BH36" s="13"/>
      <c r="BJ36" s="13"/>
    </row>
    <row r="37" spans="1:62" x14ac:dyDescent="0.2">
      <c r="A37" s="159" t="s">
        <v>511</v>
      </c>
      <c r="B37" s="160" t="s">
        <v>224</v>
      </c>
      <c r="C37" s="159">
        <v>690</v>
      </c>
      <c r="D37" s="161">
        <f>'Base de données indicateurs1'!BF59</f>
        <v>58141471.820000008</v>
      </c>
      <c r="E37" s="13">
        <f>'Base de données indicateurs1'!E59</f>
        <v>371702.39</v>
      </c>
      <c r="F37" s="13">
        <f>'Base de données indicateurs1'!F59</f>
        <v>28081.5</v>
      </c>
      <c r="G37" s="13">
        <f>'Base de données indicateurs1'!G59</f>
        <v>242182.39999999999</v>
      </c>
      <c r="H37" s="13">
        <f>'Base de données indicateurs1'!H59</f>
        <v>62259.15</v>
      </c>
      <c r="I37" s="13">
        <f>'Base de données indicateurs1'!I59</f>
        <v>2378465.62</v>
      </c>
      <c r="J37" s="13">
        <f>'Base de données indicateurs1'!J59</f>
        <v>2202642.27</v>
      </c>
      <c r="K37" s="13">
        <f>'Base de données indicateurs1'!K59</f>
        <v>979069.46</v>
      </c>
      <c r="L37" s="13">
        <f>'Base de données indicateurs1'!L59</f>
        <v>12017308.6</v>
      </c>
      <c r="M37" s="13">
        <f>'Base de données indicateurs1'!M59</f>
        <v>1910906.37</v>
      </c>
      <c r="N37" s="13">
        <f>'Base de données indicateurs1'!N59</f>
        <v>41267.75</v>
      </c>
      <c r="O37" s="13">
        <f>'Base de données indicateurs1'!O59</f>
        <v>5431484.6500000004</v>
      </c>
      <c r="P37" s="13">
        <f>'Base de données indicateurs1'!P59</f>
        <v>50979.71</v>
      </c>
      <c r="Q37" s="13">
        <f>'Base de données indicateurs1'!Q59</f>
        <v>2188.15</v>
      </c>
      <c r="R37" s="13">
        <f>'Base de données indicateurs1'!R59</f>
        <v>43432.21</v>
      </c>
      <c r="S37" s="13">
        <f>'Base de données indicateurs1'!S59</f>
        <v>209.25</v>
      </c>
      <c r="T37" s="13">
        <f>'Base de données indicateurs1'!T59</f>
        <v>198621.2</v>
      </c>
      <c r="U37" s="13">
        <f>'Base de données indicateurs1'!U59</f>
        <v>112192.75</v>
      </c>
      <c r="V37" s="13">
        <f>'Base de données indicateurs1'!V59</f>
        <v>65376</v>
      </c>
      <c r="W37" s="13">
        <f>'Base de données indicateurs1'!W59</f>
        <v>4915498.45</v>
      </c>
      <c r="X37" s="13">
        <f>'Base de données indicateurs1'!X59</f>
        <v>331568.45</v>
      </c>
      <c r="Y37" s="13">
        <f>'Base de données indicateurs1'!Y59</f>
        <v>568913.5</v>
      </c>
      <c r="Z37" s="13">
        <f>'Base de données indicateurs1'!Z59</f>
        <v>356335.8</v>
      </c>
      <c r="AA37" s="13">
        <f>'Base de données indicateurs1'!AA59</f>
        <v>339692.7</v>
      </c>
      <c r="AB37" s="13">
        <f>'Base de données indicateurs1'!AB59</f>
        <v>178259.75</v>
      </c>
      <c r="AC37" s="13">
        <f>'Base de données indicateurs1'!AC59</f>
        <v>373782</v>
      </c>
      <c r="AD37" s="13">
        <f>'Base de données indicateurs1'!AD59</f>
        <v>1534075.49</v>
      </c>
      <c r="AE37" s="13">
        <f>'Base de données indicateurs1'!AE59</f>
        <v>482944.8</v>
      </c>
      <c r="AF37" s="13">
        <f>'Base de données indicateurs1'!AF59</f>
        <v>606075.91</v>
      </c>
      <c r="AG37" s="13">
        <f>'Base de données indicateurs1'!AG59</f>
        <v>830847.02</v>
      </c>
      <c r="AH37" s="13">
        <f>'Base de données indicateurs1'!AH59</f>
        <v>1171479.83</v>
      </c>
      <c r="AI37" s="13">
        <f>'Base de données indicateurs1'!AI59</f>
        <v>25468.85</v>
      </c>
      <c r="AJ37" s="13">
        <f>'Base de données indicateurs1'!AJ59</f>
        <v>66722.850000000006</v>
      </c>
      <c r="AK37" s="13">
        <f>'Base de données indicateurs1'!AK59</f>
        <v>723238.84</v>
      </c>
      <c r="AL37" s="13">
        <f>'Base de données indicateurs1'!AL59</f>
        <v>248880.85</v>
      </c>
      <c r="AM37" s="13">
        <f>'Base de données indicateurs1'!AM59</f>
        <v>463854.36</v>
      </c>
      <c r="AN37" s="13">
        <f>'Base de données indicateurs1'!AN59</f>
        <v>19656.5</v>
      </c>
      <c r="AO37" s="13">
        <f>'Base de données indicateurs1'!AO59</f>
        <v>1528389.06</v>
      </c>
      <c r="AP37" s="13">
        <f>'Base de données indicateurs1'!AP59</f>
        <v>334781.95</v>
      </c>
      <c r="AQ37" s="13">
        <f>'Base de données indicateurs1'!AQ59</f>
        <v>1123724.8</v>
      </c>
      <c r="AR37" s="13">
        <f>'Base de données indicateurs1'!AR59</f>
        <v>1965475.15</v>
      </c>
      <c r="AS37" s="13">
        <f>'Base de données indicateurs1'!AS59</f>
        <v>152819.9</v>
      </c>
      <c r="AT37" s="13">
        <f>'Base de données indicateurs1'!AT59</f>
        <v>1040598.75</v>
      </c>
      <c r="AU37" s="13">
        <f>'Base de données indicateurs1'!AU59</f>
        <v>177717.8</v>
      </c>
      <c r="AV37" s="13">
        <f>'Base de données indicateurs1'!AV59</f>
        <v>2134973.85</v>
      </c>
      <c r="AW37" s="13">
        <f>'Base de données indicateurs1'!AW59</f>
        <v>344279.7</v>
      </c>
      <c r="AX37" s="13">
        <f>'Base de données indicateurs1'!AX59</f>
        <v>0</v>
      </c>
      <c r="AY37" s="13">
        <f>'Base de données indicateurs1'!AY59</f>
        <v>84585.35</v>
      </c>
      <c r="AZ37" s="13">
        <f>'Base de données indicateurs1'!AZ59</f>
        <v>264388.7</v>
      </c>
      <c r="BA37" s="13">
        <f>'Base de données indicateurs1'!BA59</f>
        <v>1181638.93</v>
      </c>
      <c r="BB37" s="13">
        <f>'Base de données indicateurs1'!BB59</f>
        <v>944192.91</v>
      </c>
      <c r="BC37" s="13">
        <f>'Base de données indicateurs1'!BC59</f>
        <v>469551.45</v>
      </c>
      <c r="BD37" s="13">
        <f>'Base de données indicateurs1'!BD59</f>
        <v>6984682.2400000002</v>
      </c>
      <c r="BE37" s="13">
        <f>'Base de données indicateurs1'!BE59</f>
        <v>34005.9</v>
      </c>
      <c r="BF37" s="13">
        <f t="shared" si="0"/>
        <v>31053867.880000003</v>
      </c>
      <c r="BG37" s="13">
        <f t="shared" si="1"/>
        <v>6866166.9499999993</v>
      </c>
      <c r="BH37" s="13">
        <f t="shared" si="2"/>
        <v>20221436.989999995</v>
      </c>
      <c r="BJ37" s="13"/>
    </row>
    <row r="38" spans="1:62" x14ac:dyDescent="0.2">
      <c r="A38" s="162" t="s">
        <v>512</v>
      </c>
      <c r="B38" s="163" t="s">
        <v>225</v>
      </c>
      <c r="C38" s="162">
        <v>590</v>
      </c>
      <c r="D38" s="164">
        <f>'Base de données indicateurs1'!BF62</f>
        <v>12820872.170000002</v>
      </c>
      <c r="E38" s="13">
        <f>'Base de données indicateurs1'!E62</f>
        <v>0</v>
      </c>
      <c r="F38" s="13">
        <f>'Base de données indicateurs1'!F62</f>
        <v>5829.7</v>
      </c>
      <c r="G38" s="13">
        <f>'Base de données indicateurs1'!G62</f>
        <v>64996</v>
      </c>
      <c r="H38" s="13">
        <f>'Base de données indicateurs1'!H62</f>
        <v>194100</v>
      </c>
      <c r="I38" s="13">
        <f>'Base de données indicateurs1'!I62</f>
        <v>213899</v>
      </c>
      <c r="J38" s="13">
        <f>'Base de données indicateurs1'!J62</f>
        <v>671572.4</v>
      </c>
      <c r="K38" s="13">
        <f>'Base de données indicateurs1'!K62</f>
        <v>364783.8</v>
      </c>
      <c r="L38" s="13">
        <f>'Base de données indicateurs1'!L62</f>
        <v>1458029</v>
      </c>
      <c r="M38" s="13">
        <f>'Base de données indicateurs1'!M62</f>
        <v>975441.8</v>
      </c>
      <c r="N38" s="13">
        <f>'Base de données indicateurs1'!N62</f>
        <v>0</v>
      </c>
      <c r="O38" s="13">
        <f>'Base de données indicateurs1'!O62</f>
        <v>926847.45</v>
      </c>
      <c r="P38" s="13">
        <f>'Base de données indicateurs1'!P62</f>
        <v>182690.4</v>
      </c>
      <c r="Q38" s="13">
        <f>'Base de données indicateurs1'!Q62</f>
        <v>0</v>
      </c>
      <c r="R38" s="13">
        <f>'Base de données indicateurs1'!R62</f>
        <v>707.45</v>
      </c>
      <c r="S38" s="13">
        <f>'Base de données indicateurs1'!S62</f>
        <v>221400</v>
      </c>
      <c r="T38" s="13">
        <f>'Base de données indicateurs1'!T62</f>
        <v>48700</v>
      </c>
      <c r="U38" s="13">
        <f>'Base de données indicateurs1'!U62</f>
        <v>3802.9</v>
      </c>
      <c r="V38" s="13">
        <f>'Base de données indicateurs1'!V62</f>
        <v>3884</v>
      </c>
      <c r="W38" s="13">
        <f>'Base de données indicateurs1'!W62</f>
        <v>2362720.15</v>
      </c>
      <c r="X38" s="13">
        <f>'Base de données indicateurs1'!X62</f>
        <v>3000</v>
      </c>
      <c r="Y38" s="13">
        <f>'Base de données indicateurs1'!Y62</f>
        <v>129671.2</v>
      </c>
      <c r="Z38" s="13">
        <f>'Base de données indicateurs1'!Z62</f>
        <v>97701.8</v>
      </c>
      <c r="AA38" s="13">
        <f>'Base de données indicateurs1'!AA62</f>
        <v>0</v>
      </c>
      <c r="AB38" s="13">
        <f>'Base de données indicateurs1'!AB62</f>
        <v>0</v>
      </c>
      <c r="AC38" s="13">
        <f>'Base de données indicateurs1'!AC62</f>
        <v>69100</v>
      </c>
      <c r="AD38" s="13">
        <f>'Base de données indicateurs1'!AD62</f>
        <v>158561.54999999999</v>
      </c>
      <c r="AE38" s="13">
        <f>'Base de données indicateurs1'!AE62</f>
        <v>0</v>
      </c>
      <c r="AF38" s="13">
        <f>'Base de données indicateurs1'!AF62</f>
        <v>61998</v>
      </c>
      <c r="AG38" s="13">
        <f>'Base de données indicateurs1'!AG62</f>
        <v>44859.1</v>
      </c>
      <c r="AH38" s="13">
        <f>'Base de données indicateurs1'!AH62</f>
        <v>706607.6</v>
      </c>
      <c r="AI38" s="13">
        <f>'Base de données indicateurs1'!AI62</f>
        <v>4600</v>
      </c>
      <c r="AJ38" s="13">
        <f>'Base de données indicateurs1'!AJ62</f>
        <v>9250</v>
      </c>
      <c r="AK38" s="13">
        <f>'Base de données indicateurs1'!AK62</f>
        <v>454939.4</v>
      </c>
      <c r="AL38" s="13">
        <f>'Base de données indicateurs1'!AL62</f>
        <v>99916.05</v>
      </c>
      <c r="AM38" s="13">
        <f>'Base de données indicateurs1'!AM62</f>
        <v>97387.9</v>
      </c>
      <c r="AN38" s="13">
        <f>'Base de données indicateurs1'!AN62</f>
        <v>0</v>
      </c>
      <c r="AO38" s="13">
        <f>'Base de données indicateurs1'!AO62</f>
        <v>194820.35</v>
      </c>
      <c r="AP38" s="13">
        <f>'Base de données indicateurs1'!AP62</f>
        <v>3823.75</v>
      </c>
      <c r="AQ38" s="13">
        <f>'Base de données indicateurs1'!AQ62</f>
        <v>74742.350000000006</v>
      </c>
      <c r="AR38" s="13">
        <f>'Base de données indicateurs1'!AR62</f>
        <v>751289.62</v>
      </c>
      <c r="AS38" s="13">
        <f>'Base de données indicateurs1'!AS62</f>
        <v>77000</v>
      </c>
      <c r="AT38" s="13">
        <f>'Base de données indicateurs1'!AT62</f>
        <v>90000.05</v>
      </c>
      <c r="AU38" s="13">
        <f>'Base de données indicateurs1'!AU62</f>
        <v>53027.5</v>
      </c>
      <c r="AV38" s="13">
        <f>'Base de données indicateurs1'!AV62</f>
        <v>142427.79999999999</v>
      </c>
      <c r="AW38" s="13">
        <f>'Base de données indicateurs1'!AW62</f>
        <v>16355</v>
      </c>
      <c r="AX38" s="13">
        <f>'Base de données indicateurs1'!AX62</f>
        <v>0</v>
      </c>
      <c r="AY38" s="13">
        <f>'Base de données indicateurs1'!AY62</f>
        <v>0</v>
      </c>
      <c r="AZ38" s="13">
        <f>'Base de données indicateurs1'!AZ62</f>
        <v>0</v>
      </c>
      <c r="BA38" s="13">
        <f>'Base de données indicateurs1'!BA62</f>
        <v>173814.15</v>
      </c>
      <c r="BB38" s="13">
        <f>'Base de données indicateurs1'!BB62</f>
        <v>106328</v>
      </c>
      <c r="BC38" s="13">
        <f>'Base de données indicateurs1'!BC62</f>
        <v>203366</v>
      </c>
      <c r="BD38" s="13">
        <f>'Base de données indicateurs1'!BD62</f>
        <v>1234923.95</v>
      </c>
      <c r="BE38" s="13">
        <f>'Base de données indicateurs1'!BE62</f>
        <v>61957</v>
      </c>
      <c r="BF38" s="13">
        <f t="shared" si="0"/>
        <v>7699404.0500000007</v>
      </c>
      <c r="BG38" s="13">
        <f t="shared" si="1"/>
        <v>1285349.25</v>
      </c>
      <c r="BH38" s="13">
        <f t="shared" si="2"/>
        <v>3836118.87</v>
      </c>
      <c r="BJ38" s="13"/>
    </row>
    <row r="39" spans="1:62" ht="15" thickBot="1" x14ac:dyDescent="0.25">
      <c r="B39" s="158"/>
      <c r="D39" s="13"/>
      <c r="BF39" s="13"/>
      <c r="BG39" s="13"/>
      <c r="BH39" s="13"/>
      <c r="BJ39" s="13"/>
    </row>
    <row r="40" spans="1:62" ht="15.75" thickBot="1" x14ac:dyDescent="0.3">
      <c r="A40" s="7" t="s">
        <v>220</v>
      </c>
      <c r="B40" s="178"/>
      <c r="C40" s="7"/>
      <c r="D40" s="168">
        <f>D37-D38</f>
        <v>45320599.650000006</v>
      </c>
      <c r="E40" s="13">
        <f>E37-E38</f>
        <v>371702.39</v>
      </c>
      <c r="F40" s="13">
        <f t="shared" ref="F40:BE40" si="7">F37-F38</f>
        <v>22251.8</v>
      </c>
      <c r="G40" s="13">
        <f t="shared" si="7"/>
        <v>177186.4</v>
      </c>
      <c r="H40" s="13">
        <f t="shared" si="7"/>
        <v>-131840.85</v>
      </c>
      <c r="I40" s="13">
        <f t="shared" si="7"/>
        <v>2164566.62</v>
      </c>
      <c r="J40" s="13">
        <f t="shared" si="7"/>
        <v>1531069.87</v>
      </c>
      <c r="K40" s="13">
        <f t="shared" si="7"/>
        <v>614285.65999999992</v>
      </c>
      <c r="L40" s="13">
        <f t="shared" si="7"/>
        <v>10559279.6</v>
      </c>
      <c r="M40" s="13">
        <f t="shared" si="7"/>
        <v>935464.57000000007</v>
      </c>
      <c r="N40" s="13">
        <f t="shared" si="7"/>
        <v>41267.75</v>
      </c>
      <c r="O40" s="13">
        <f t="shared" si="7"/>
        <v>4504637.2</v>
      </c>
      <c r="P40" s="13">
        <f t="shared" si="7"/>
        <v>-131710.69</v>
      </c>
      <c r="Q40" s="13">
        <f t="shared" si="7"/>
        <v>2188.15</v>
      </c>
      <c r="R40" s="13">
        <f t="shared" si="7"/>
        <v>42724.76</v>
      </c>
      <c r="S40" s="13">
        <f t="shared" si="7"/>
        <v>-221190.75</v>
      </c>
      <c r="T40" s="13">
        <f t="shared" si="7"/>
        <v>149921.20000000001</v>
      </c>
      <c r="U40" s="13">
        <f t="shared" si="7"/>
        <v>108389.85</v>
      </c>
      <c r="V40" s="13">
        <f t="shared" si="7"/>
        <v>61492</v>
      </c>
      <c r="W40" s="13">
        <f t="shared" si="7"/>
        <v>2552778.3000000003</v>
      </c>
      <c r="X40" s="13">
        <f t="shared" si="7"/>
        <v>328568.45</v>
      </c>
      <c r="Y40" s="13">
        <f t="shared" si="7"/>
        <v>439242.3</v>
      </c>
      <c r="Z40" s="13">
        <f t="shared" si="7"/>
        <v>258634</v>
      </c>
      <c r="AA40" s="13">
        <f t="shared" si="7"/>
        <v>339692.7</v>
      </c>
      <c r="AB40" s="13">
        <f t="shared" si="7"/>
        <v>178259.75</v>
      </c>
      <c r="AC40" s="13">
        <f t="shared" si="7"/>
        <v>304682</v>
      </c>
      <c r="AD40" s="13">
        <f t="shared" si="7"/>
        <v>1375513.94</v>
      </c>
      <c r="AE40" s="13">
        <f t="shared" si="7"/>
        <v>482944.8</v>
      </c>
      <c r="AF40" s="13">
        <f t="shared" si="7"/>
        <v>544077.91</v>
      </c>
      <c r="AG40" s="13">
        <f t="shared" si="7"/>
        <v>785987.92</v>
      </c>
      <c r="AH40" s="13">
        <f t="shared" si="7"/>
        <v>464872.2300000001</v>
      </c>
      <c r="AI40" s="13">
        <f t="shared" si="7"/>
        <v>20868.849999999999</v>
      </c>
      <c r="AJ40" s="13">
        <f t="shared" si="7"/>
        <v>57472.850000000006</v>
      </c>
      <c r="AK40" s="13">
        <f t="shared" si="7"/>
        <v>268299.43999999994</v>
      </c>
      <c r="AL40" s="13">
        <f t="shared" si="7"/>
        <v>148964.79999999999</v>
      </c>
      <c r="AM40" s="13">
        <f t="shared" si="7"/>
        <v>366466.45999999996</v>
      </c>
      <c r="AN40" s="13">
        <f t="shared" si="7"/>
        <v>19656.5</v>
      </c>
      <c r="AO40" s="13">
        <f t="shared" si="7"/>
        <v>1333568.71</v>
      </c>
      <c r="AP40" s="13">
        <f t="shared" si="7"/>
        <v>330958.2</v>
      </c>
      <c r="AQ40" s="13">
        <f t="shared" si="7"/>
        <v>1048982.45</v>
      </c>
      <c r="AR40" s="13">
        <f t="shared" si="7"/>
        <v>1214185.5299999998</v>
      </c>
      <c r="AS40" s="13">
        <f t="shared" si="7"/>
        <v>75819.899999999994</v>
      </c>
      <c r="AT40" s="13">
        <f t="shared" si="7"/>
        <v>950598.7</v>
      </c>
      <c r="AU40" s="13">
        <f t="shared" si="7"/>
        <v>124690.29999999999</v>
      </c>
      <c r="AV40" s="13">
        <f t="shared" si="7"/>
        <v>1992546.05</v>
      </c>
      <c r="AW40" s="13">
        <f t="shared" si="7"/>
        <v>327924.7</v>
      </c>
      <c r="AX40" s="13">
        <f t="shared" si="7"/>
        <v>0</v>
      </c>
      <c r="AY40" s="13">
        <f t="shared" si="7"/>
        <v>84585.35</v>
      </c>
      <c r="AZ40" s="13">
        <f t="shared" si="7"/>
        <v>264388.7</v>
      </c>
      <c r="BA40" s="13">
        <f t="shared" si="7"/>
        <v>1007824.7799999999</v>
      </c>
      <c r="BB40" s="13">
        <f t="shared" si="7"/>
        <v>837864.91</v>
      </c>
      <c r="BC40" s="13">
        <f t="shared" si="7"/>
        <v>266185.45</v>
      </c>
      <c r="BD40" s="13">
        <f t="shared" si="7"/>
        <v>5749758.29</v>
      </c>
      <c r="BE40" s="13">
        <f t="shared" si="7"/>
        <v>-27951.1</v>
      </c>
      <c r="BF40" s="13">
        <f t="shared" si="0"/>
        <v>23354463.830000002</v>
      </c>
      <c r="BG40" s="13">
        <f t="shared" si="1"/>
        <v>5580817.6999999993</v>
      </c>
      <c r="BH40" s="13">
        <f t="shared" si="2"/>
        <v>16385318.119999999</v>
      </c>
      <c r="BJ40" s="13"/>
    </row>
    <row r="41" spans="1:62" ht="15" thickBot="1" x14ac:dyDescent="0.25">
      <c r="B41" s="158"/>
      <c r="D41" s="13"/>
      <c r="BF41" s="13"/>
      <c r="BG41" s="13"/>
      <c r="BH41" s="13"/>
      <c r="BJ41" s="13"/>
    </row>
    <row r="42" spans="1:62" ht="15.75" thickBot="1" x14ac:dyDescent="0.3">
      <c r="A42" s="7" t="s">
        <v>513</v>
      </c>
      <c r="B42" s="178"/>
      <c r="C42" s="7"/>
      <c r="D42" s="168">
        <f>IF(D40&lt;&gt;0,D35/D40,"")*100</f>
        <v>67.194329389240536</v>
      </c>
      <c r="E42" s="171">
        <f>IF(E40&lt;&gt;0,E35/E40,"")*100</f>
        <v>21.312569445679369</v>
      </c>
      <c r="F42" s="172">
        <f t="shared" ref="F42:BH42" si="8">IF(F40&lt;&gt;0,F35/F40,"")*100</f>
        <v>-563.87537188002761</v>
      </c>
      <c r="G42" s="172">
        <f t="shared" si="8"/>
        <v>203.28533679785812</v>
      </c>
      <c r="H42" s="172">
        <f t="shared" si="8"/>
        <v>-29.030676000647748</v>
      </c>
      <c r="I42" s="172">
        <f t="shared" si="8"/>
        <v>61.208832186463255</v>
      </c>
      <c r="J42" s="172">
        <f t="shared" si="8"/>
        <v>73.501914710136631</v>
      </c>
      <c r="K42" s="172">
        <f t="shared" si="8"/>
        <v>192.09903418549607</v>
      </c>
      <c r="L42" s="172">
        <f t="shared" si="8"/>
        <v>22.649256583754063</v>
      </c>
      <c r="M42" s="172">
        <f t="shared" si="8"/>
        <v>-10.506847950425319</v>
      </c>
      <c r="N42" s="172">
        <f t="shared" si="8"/>
        <v>181.49838554319052</v>
      </c>
      <c r="O42" s="172">
        <f>IF(O40&lt;&gt;0,O35/O40,"")*100</f>
        <v>62.174089402804732</v>
      </c>
      <c r="P42" s="172">
        <f t="shared" si="8"/>
        <v>-5.1249294950926139</v>
      </c>
      <c r="Q42" s="172">
        <f t="shared" si="8"/>
        <v>1826.136690811873</v>
      </c>
      <c r="R42" s="172">
        <f t="shared" si="8"/>
        <v>125.8659849698395</v>
      </c>
      <c r="S42" s="172">
        <f t="shared" si="8"/>
        <v>-1.2176458554437644</v>
      </c>
      <c r="T42" s="172">
        <f t="shared" si="8"/>
        <v>224.59283943831824</v>
      </c>
      <c r="U42" s="172">
        <f t="shared" si="8"/>
        <v>-40.809347000664729</v>
      </c>
      <c r="V42" s="172">
        <f t="shared" si="8"/>
        <v>170.60084238600143</v>
      </c>
      <c r="W42" s="172">
        <f t="shared" si="8"/>
        <v>76.027378875791925</v>
      </c>
      <c r="X42" s="172">
        <f t="shared" si="8"/>
        <v>30.910992823565376</v>
      </c>
      <c r="Y42" s="172">
        <f t="shared" si="8"/>
        <v>239.09338194431641</v>
      </c>
      <c r="Z42" s="172">
        <f>IF(Z40&lt;&gt;0,Z35/Z40,"")*100</f>
        <v>1295.8320947748555</v>
      </c>
      <c r="AA42" s="172">
        <f t="shared" si="8"/>
        <v>-1.6267644256117393</v>
      </c>
      <c r="AB42" s="172">
        <f t="shared" si="8"/>
        <v>42.270596699479249</v>
      </c>
      <c r="AC42" s="172">
        <f t="shared" si="8"/>
        <v>37.348494495900638</v>
      </c>
      <c r="AD42" s="172">
        <f t="shared" si="8"/>
        <v>18.391310523541478</v>
      </c>
      <c r="AE42" s="172">
        <f t="shared" si="8"/>
        <v>-24.766668985772284</v>
      </c>
      <c r="AF42" s="172">
        <f t="shared" si="8"/>
        <v>-19.918783322778165</v>
      </c>
      <c r="AG42" s="172">
        <f t="shared" si="8"/>
        <v>147.00305826583187</v>
      </c>
      <c r="AH42" s="172">
        <f t="shared" si="8"/>
        <v>277.27918916559065</v>
      </c>
      <c r="AI42" s="172">
        <f t="shared" si="8"/>
        <v>539.54630945164683</v>
      </c>
      <c r="AJ42" s="172">
        <f t="shared" si="8"/>
        <v>229.44264987728982</v>
      </c>
      <c r="AK42" s="172">
        <f t="shared" si="8"/>
        <v>525.89147782045325</v>
      </c>
      <c r="AL42" s="172">
        <f t="shared" si="8"/>
        <v>295.26438460629629</v>
      </c>
      <c r="AM42" s="172">
        <f t="shared" si="8"/>
        <v>62.472854951036993</v>
      </c>
      <c r="AN42" s="172">
        <f t="shared" si="8"/>
        <v>207.3510543586091</v>
      </c>
      <c r="AO42" s="172">
        <f t="shared" si="8"/>
        <v>191.45490523694127</v>
      </c>
      <c r="AP42" s="172">
        <f t="shared" si="8"/>
        <v>24.877011658874139</v>
      </c>
      <c r="AQ42" s="172">
        <f t="shared" si="8"/>
        <v>-0.89305593244195847</v>
      </c>
      <c r="AR42" s="172">
        <f t="shared" si="8"/>
        <v>31.922465753648044</v>
      </c>
      <c r="AS42" s="172">
        <f t="shared" si="8"/>
        <v>475.11415868393402</v>
      </c>
      <c r="AT42" s="172">
        <f t="shared" si="8"/>
        <v>25.042181311630234</v>
      </c>
      <c r="AU42" s="172">
        <f t="shared" si="8"/>
        <v>-154.43878152510661</v>
      </c>
      <c r="AV42" s="172">
        <f t="shared" si="8"/>
        <v>43.296409636304261</v>
      </c>
      <c r="AW42" s="172">
        <f t="shared" si="8"/>
        <v>113.54476500245332</v>
      </c>
      <c r="AX42" s="172" t="e">
        <f t="shared" si="8"/>
        <v>#VALUE!</v>
      </c>
      <c r="AY42" s="172">
        <f t="shared" si="8"/>
        <v>103.85434357131582</v>
      </c>
      <c r="AZ42" s="172">
        <f t="shared" si="8"/>
        <v>144.42016621739126</v>
      </c>
      <c r="BA42" s="172">
        <f t="shared" si="8"/>
        <v>4.3823222921746385</v>
      </c>
      <c r="BB42" s="172">
        <f t="shared" si="8"/>
        <v>95.045990170420197</v>
      </c>
      <c r="BC42" s="172">
        <f t="shared" si="8"/>
        <v>10.256202959252656</v>
      </c>
      <c r="BD42" s="172">
        <f t="shared" si="8"/>
        <v>56.743736613665554</v>
      </c>
      <c r="BE42" s="172">
        <f t="shared" si="8"/>
        <v>-358.9966763383195</v>
      </c>
      <c r="BF42" s="172">
        <f t="shared" si="8"/>
        <v>49.63858294665031</v>
      </c>
      <c r="BG42" s="172">
        <f t="shared" si="8"/>
        <v>132.60998634662445</v>
      </c>
      <c r="BH42" s="172">
        <f t="shared" si="8"/>
        <v>69.936551955086486</v>
      </c>
      <c r="BJ42" s="13"/>
    </row>
    <row r="43" spans="1:62" x14ac:dyDescent="0.2">
      <c r="A43" s="173" t="s">
        <v>514</v>
      </c>
      <c r="B43" s="158"/>
    </row>
    <row r="44" spans="1:62" x14ac:dyDescent="0.2">
      <c r="B44" s="158"/>
    </row>
  </sheetData>
  <mergeCells count="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37"/>
  <sheetViews>
    <sheetView zoomScaleNormal="100" workbookViewId="0">
      <pane xSplit="4" ySplit="5" topLeftCell="S6" activePane="bottomRight" state="frozen"/>
      <selection activeCell="BD45" sqref="BD45"/>
      <selection pane="topRight" activeCell="BD45" sqref="BD45"/>
      <selection pane="bottomLeft" activeCell="BD45" sqref="BD45"/>
      <selection pane="bottomRight" activeCell="BD45" sqref="BD45"/>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155" t="s">
        <v>491</v>
      </c>
      <c r="B2" s="155"/>
      <c r="C2" s="155"/>
      <c r="D2" s="155"/>
    </row>
    <row r="4" spans="1:60" ht="15" x14ac:dyDescent="0.25">
      <c r="A4" s="7" t="s">
        <v>515</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1">
        <f>'4.1 Comptes 2022 natures'!BG3</f>
        <v>39309</v>
      </c>
      <c r="BG4" s="181">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x14ac:dyDescent="0.2">
      <c r="A6" s="159" t="s">
        <v>281</v>
      </c>
      <c r="B6" s="160" t="s">
        <v>224</v>
      </c>
      <c r="C6" s="159">
        <v>340</v>
      </c>
      <c r="D6" s="161">
        <f>'Base de données indicateurs1'!BF23</f>
        <v>6248537.4499999983</v>
      </c>
      <c r="E6" s="13">
        <f>'Base de données indicateurs1'!E23</f>
        <v>54405.36</v>
      </c>
      <c r="F6" s="13">
        <f>'Base de données indicateurs1'!F23</f>
        <v>28132.15</v>
      </c>
      <c r="G6" s="13">
        <f>'Base de données indicateurs1'!G23</f>
        <v>54021.440000000002</v>
      </c>
      <c r="H6" s="13">
        <f>'Base de données indicateurs1'!H23</f>
        <v>57098.85</v>
      </c>
      <c r="I6" s="13">
        <f>'Base de données indicateurs1'!I23</f>
        <v>374174</v>
      </c>
      <c r="J6" s="13">
        <f>'Base de données indicateurs1'!J23</f>
        <v>193845.61</v>
      </c>
      <c r="K6" s="13">
        <f>'Base de données indicateurs1'!K23</f>
        <v>143790.16</v>
      </c>
      <c r="L6" s="13">
        <f>'Base de données indicateurs1'!L23</f>
        <v>1809808.42</v>
      </c>
      <c r="M6" s="13">
        <f>'Base de données indicateurs1'!M23</f>
        <v>42381.919999999998</v>
      </c>
      <c r="N6" s="13">
        <f>'Base de données indicateurs1'!N23</f>
        <v>7268.05</v>
      </c>
      <c r="O6" s="13">
        <f>'Base de données indicateurs1'!O23</f>
        <v>295834.36</v>
      </c>
      <c r="P6" s="13">
        <f>'Base de données indicateurs1'!P23</f>
        <v>39196.449999999997</v>
      </c>
      <c r="Q6" s="13">
        <f>'Base de données indicateurs1'!Q23</f>
        <v>8151.88</v>
      </c>
      <c r="R6" s="13">
        <f>'Base de données indicateurs1'!R23</f>
        <v>38763.06</v>
      </c>
      <c r="S6" s="13">
        <f>'Base de données indicateurs1'!S23</f>
        <v>64754.02</v>
      </c>
      <c r="T6" s="13">
        <f>'Base de données indicateurs1'!T23</f>
        <v>45109.47</v>
      </c>
      <c r="U6" s="13">
        <f>'Base de données indicateurs1'!U23</f>
        <v>10053.27</v>
      </c>
      <c r="V6" s="13">
        <f>'Base de données indicateurs1'!V23</f>
        <v>35619.339999999997</v>
      </c>
      <c r="W6" s="13">
        <f>'Base de données indicateurs1'!W23</f>
        <v>166137.12</v>
      </c>
      <c r="X6" s="13">
        <f>'Base de données indicateurs1'!X23</f>
        <v>8239.19</v>
      </c>
      <c r="Y6" s="13">
        <f>'Base de données indicateurs1'!Y23</f>
        <v>128326.63</v>
      </c>
      <c r="Z6" s="13">
        <f>'Base de données indicateurs1'!Z23</f>
        <v>10311.48</v>
      </c>
      <c r="AA6" s="13">
        <f>'Base de données indicateurs1'!AA23</f>
        <v>4795.67</v>
      </c>
      <c r="AB6" s="13">
        <f>'Base de données indicateurs1'!AB23</f>
        <v>3587.37</v>
      </c>
      <c r="AC6" s="13">
        <f>'Base de données indicateurs1'!AC23</f>
        <v>62106.16</v>
      </c>
      <c r="AD6" s="13">
        <f>'Base de données indicateurs1'!AD23</f>
        <v>57177.8</v>
      </c>
      <c r="AE6" s="13">
        <f>'Base de données indicateurs1'!AE23</f>
        <v>35078.6</v>
      </c>
      <c r="AF6" s="13">
        <f>'Base de données indicateurs1'!AF23</f>
        <v>15061.15</v>
      </c>
      <c r="AG6" s="13">
        <f>'Base de données indicateurs1'!AG23</f>
        <v>46459.57</v>
      </c>
      <c r="AH6" s="13">
        <f>'Base de données indicateurs1'!AH23</f>
        <v>132611.03</v>
      </c>
      <c r="AI6" s="13">
        <f>'Base de données indicateurs1'!AI23</f>
        <v>0</v>
      </c>
      <c r="AJ6" s="13">
        <f>'Base de données indicateurs1'!AJ23</f>
        <v>4578.28</v>
      </c>
      <c r="AK6" s="13">
        <f>'Base de données indicateurs1'!AK23</f>
        <v>156374.1</v>
      </c>
      <c r="AL6" s="13">
        <f>'Base de données indicateurs1'!AL23</f>
        <v>119078</v>
      </c>
      <c r="AM6" s="13">
        <f>'Base de données indicateurs1'!AM23</f>
        <v>129201.11</v>
      </c>
      <c r="AN6" s="13">
        <f>'Base de données indicateurs1'!AN23</f>
        <v>19633.919999999998</v>
      </c>
      <c r="AO6" s="13">
        <f>'Base de données indicateurs1'!AO23</f>
        <v>60213.33</v>
      </c>
      <c r="AP6" s="13">
        <f>'Base de données indicateurs1'!AP23</f>
        <v>74155.97</v>
      </c>
      <c r="AQ6" s="13">
        <f>'Base de données indicateurs1'!AQ23</f>
        <v>60050</v>
      </c>
      <c r="AR6" s="13">
        <f>'Base de données indicateurs1'!AR23</f>
        <v>78368.460000000006</v>
      </c>
      <c r="AS6" s="13">
        <f>'Base de données indicateurs1'!AS23</f>
        <v>0</v>
      </c>
      <c r="AT6" s="13">
        <f>'Base de données indicateurs1'!AT23</f>
        <v>105867.22</v>
      </c>
      <c r="AU6" s="13">
        <f>'Base de données indicateurs1'!AU23</f>
        <v>22266.65</v>
      </c>
      <c r="AV6" s="13">
        <f>'Base de données indicateurs1'!AV23</f>
        <v>190311.65</v>
      </c>
      <c r="AW6" s="13">
        <f>'Base de données indicateurs1'!AW23</f>
        <v>60249.21</v>
      </c>
      <c r="AX6" s="13">
        <f>'Base de données indicateurs1'!AX23</f>
        <v>7077.6</v>
      </c>
      <c r="AY6" s="13">
        <f>'Base de données indicateurs1'!AY23</f>
        <v>14484.84</v>
      </c>
      <c r="AZ6" s="13">
        <f>'Base de données indicateurs1'!AZ23</f>
        <v>285893.94</v>
      </c>
      <c r="BA6" s="13">
        <f>'Base de données indicateurs1'!BA23</f>
        <v>18908.810000000001</v>
      </c>
      <c r="BB6" s="13">
        <f>'Base de données indicateurs1'!BB23</f>
        <v>77938</v>
      </c>
      <c r="BC6" s="13">
        <f>'Base de données indicateurs1'!BC23</f>
        <v>278.10000000000002</v>
      </c>
      <c r="BD6" s="13">
        <f>'Base de données indicateurs1'!BD23</f>
        <v>754417.41</v>
      </c>
      <c r="BE6" s="13">
        <f>'Base de données indicateurs1'!BE23</f>
        <v>36891.269999999997</v>
      </c>
      <c r="BF6" s="13">
        <f>SUM(E6:W6)</f>
        <v>3468544.93</v>
      </c>
      <c r="BG6" s="13">
        <f>SUM(X6:AJ6)</f>
        <v>508332.93000000005</v>
      </c>
      <c r="BH6" s="13">
        <f>SUM(AK6:BE6)</f>
        <v>2271659.5900000003</v>
      </c>
    </row>
    <row r="7" spans="1:60" x14ac:dyDescent="0.2">
      <c r="A7" s="162" t="s">
        <v>280</v>
      </c>
      <c r="B7" s="163" t="s">
        <v>225</v>
      </c>
      <c r="C7" s="162">
        <v>440</v>
      </c>
      <c r="D7" s="164">
        <f>'Base de données indicateurs1'!BF42</f>
        <v>2807980.9099999997</v>
      </c>
      <c r="E7" s="13">
        <f>'Base de données indicateurs1'!E42</f>
        <v>20774.759999999998</v>
      </c>
      <c r="F7" s="13">
        <f>'Base de données indicateurs1'!F42</f>
        <v>3458.6</v>
      </c>
      <c r="G7" s="13">
        <f>'Base de données indicateurs1'!G42</f>
        <v>8650.19</v>
      </c>
      <c r="H7" s="13">
        <f>'Base de données indicateurs1'!H42</f>
        <v>7673</v>
      </c>
      <c r="I7" s="13">
        <f>'Base de données indicateurs1'!I42</f>
        <v>92820</v>
      </c>
      <c r="J7" s="13">
        <f>'Base de données indicateurs1'!J42</f>
        <v>85392.02</v>
      </c>
      <c r="K7" s="13">
        <f>'Base de données indicateurs1'!K42</f>
        <v>50590.25</v>
      </c>
      <c r="L7" s="13">
        <f>'Base de données indicateurs1'!L42</f>
        <v>916525.13</v>
      </c>
      <c r="M7" s="13">
        <f>'Base de données indicateurs1'!M42</f>
        <v>34510.089999999997</v>
      </c>
      <c r="N7" s="13">
        <f>'Base de données indicateurs1'!N42</f>
        <v>2550.92</v>
      </c>
      <c r="O7" s="13">
        <f>'Base de données indicateurs1'!O42</f>
        <v>204486.74</v>
      </c>
      <c r="P7" s="13">
        <f>'Base de données indicateurs1'!P42</f>
        <v>13949.69</v>
      </c>
      <c r="Q7" s="13">
        <f>'Base de données indicateurs1'!Q42</f>
        <v>3126.21</v>
      </c>
      <c r="R7" s="13">
        <f>'Base de données indicateurs1'!R42</f>
        <v>5.5</v>
      </c>
      <c r="S7" s="13">
        <f>'Base de données indicateurs1'!S42</f>
        <v>0</v>
      </c>
      <c r="T7" s="13">
        <f>'Base de données indicateurs1'!T42</f>
        <v>20475.93</v>
      </c>
      <c r="U7" s="13">
        <f>'Base de données indicateurs1'!U42</f>
        <v>10249.469999999999</v>
      </c>
      <c r="V7" s="13">
        <f>'Base de données indicateurs1'!V42</f>
        <v>14363.15</v>
      </c>
      <c r="W7" s="13">
        <f>'Base de données indicateurs1'!W42</f>
        <v>96966.55</v>
      </c>
      <c r="X7" s="13">
        <f>'Base de données indicateurs1'!X42</f>
        <v>5057.2</v>
      </c>
      <c r="Y7" s="13">
        <f>'Base de données indicateurs1'!Y42</f>
        <v>42079.32</v>
      </c>
      <c r="Z7" s="13">
        <f>'Base de données indicateurs1'!Z42</f>
        <v>33323.19</v>
      </c>
      <c r="AA7" s="13">
        <f>'Base de données indicateurs1'!AA42</f>
        <v>2034.5</v>
      </c>
      <c r="AB7" s="13">
        <f>'Base de données indicateurs1'!AB42</f>
        <v>2689.22</v>
      </c>
      <c r="AC7" s="13">
        <f>'Base de données indicateurs1'!AC42</f>
        <v>5857.15</v>
      </c>
      <c r="AD7" s="13">
        <f>'Base de données indicateurs1'!AD42</f>
        <v>10282.23</v>
      </c>
      <c r="AE7" s="13">
        <f>'Base de données indicateurs1'!AE42</f>
        <v>14852.94</v>
      </c>
      <c r="AF7" s="13">
        <f>'Base de données indicateurs1'!AF42</f>
        <v>296.68</v>
      </c>
      <c r="AG7" s="13">
        <f>'Base de données indicateurs1'!AG42</f>
        <v>31517.47</v>
      </c>
      <c r="AH7" s="13">
        <f>'Base de données indicateurs1'!AH42</f>
        <v>51084.21</v>
      </c>
      <c r="AI7" s="13">
        <f>'Base de données indicateurs1'!AI42</f>
        <v>0</v>
      </c>
      <c r="AJ7" s="13">
        <f>'Base de données indicateurs1'!AJ42</f>
        <v>2287.2600000000002</v>
      </c>
      <c r="AK7" s="13">
        <f>'Base de données indicateurs1'!AK42</f>
        <v>51399.56</v>
      </c>
      <c r="AL7" s="13">
        <f>'Base de données indicateurs1'!AL42</f>
        <v>78509</v>
      </c>
      <c r="AM7" s="13">
        <f>'Base de données indicateurs1'!AM42</f>
        <v>43546.25</v>
      </c>
      <c r="AN7" s="13">
        <f>'Base de données indicateurs1'!AN42</f>
        <v>6846.77</v>
      </c>
      <c r="AO7" s="13">
        <f>'Base de données indicateurs1'!AO42</f>
        <v>21251.68</v>
      </c>
      <c r="AP7" s="13">
        <f>'Base de données indicateurs1'!AP42</f>
        <v>43429.84</v>
      </c>
      <c r="AQ7" s="13">
        <f>'Base de données indicateurs1'!AQ42</f>
        <v>20734</v>
      </c>
      <c r="AR7" s="13">
        <f>'Base de données indicateurs1'!AR42</f>
        <v>37646.339999999997</v>
      </c>
      <c r="AS7" s="13">
        <f>'Base de données indicateurs1'!AS42</f>
        <v>24618.9</v>
      </c>
      <c r="AT7" s="13">
        <f>'Base de données indicateurs1'!AT42</f>
        <v>34333.64</v>
      </c>
      <c r="AU7" s="13">
        <f>'Base de données indicateurs1'!AU42</f>
        <v>9603.7900000000009</v>
      </c>
      <c r="AV7" s="13">
        <f>'Base de données indicateurs1'!AV42</f>
        <v>75161.23</v>
      </c>
      <c r="AW7" s="13">
        <f>'Base de données indicateurs1'!AW42</f>
        <v>15309.24</v>
      </c>
      <c r="AX7" s="13">
        <f>'Base de données indicateurs1'!AX42</f>
        <v>3910.43</v>
      </c>
      <c r="AY7" s="13">
        <f>'Base de données indicateurs1'!AY42</f>
        <v>10077.92</v>
      </c>
      <c r="AZ7" s="13">
        <f>'Base de données indicateurs1'!AZ42</f>
        <v>67652.11</v>
      </c>
      <c r="BA7" s="13">
        <f>'Base de données indicateurs1'!BA42</f>
        <v>11732.29</v>
      </c>
      <c r="BB7" s="13">
        <f>'Base de données indicateurs1'!BB42</f>
        <v>53388</v>
      </c>
      <c r="BC7" s="13">
        <f>'Base de données indicateurs1'!BC42</f>
        <v>5670.83</v>
      </c>
      <c r="BD7" s="13">
        <f>'Base de données indicateurs1'!BD42</f>
        <v>356399.74</v>
      </c>
      <c r="BE7" s="13">
        <f>'Base de données indicateurs1'!BE42</f>
        <v>48829.78</v>
      </c>
      <c r="BF7" s="13">
        <f t="shared" ref="BF7:BF32" si="0">SUM(E7:W7)</f>
        <v>1586568.1999999997</v>
      </c>
      <c r="BG7" s="13">
        <f t="shared" ref="BG7:BG32" si="1">SUM(X7:AJ7)</f>
        <v>201361.36999999997</v>
      </c>
      <c r="BH7" s="13">
        <f t="shared" ref="BH7:BH32" si="2">SUM(AK7:BE7)</f>
        <v>1020051.34</v>
      </c>
    </row>
    <row r="8" spans="1:60" ht="15" thickBot="1" x14ac:dyDescent="0.25">
      <c r="A8" s="165"/>
      <c r="B8" s="166"/>
      <c r="C8" s="165"/>
      <c r="D8" s="167"/>
      <c r="BF8" s="13"/>
      <c r="BG8" s="13"/>
      <c r="BH8" s="13"/>
    </row>
    <row r="9" spans="1:60" ht="15.75" thickBot="1" x14ac:dyDescent="0.3">
      <c r="A9" s="7" t="s">
        <v>516</v>
      </c>
      <c r="B9" s="112"/>
      <c r="C9" s="7"/>
      <c r="D9" s="168">
        <f>D6-D7</f>
        <v>3440556.5399999986</v>
      </c>
      <c r="E9" s="13">
        <f>E6-E7</f>
        <v>33630.600000000006</v>
      </c>
      <c r="F9" s="13">
        <f t="shared" ref="F9:BE9" si="3">F6-F7</f>
        <v>24673.550000000003</v>
      </c>
      <c r="G9" s="13">
        <f t="shared" si="3"/>
        <v>45371.25</v>
      </c>
      <c r="H9" s="13">
        <f t="shared" si="3"/>
        <v>49425.85</v>
      </c>
      <c r="I9" s="13">
        <f t="shared" si="3"/>
        <v>281354</v>
      </c>
      <c r="J9" s="13">
        <f t="shared" si="3"/>
        <v>108453.58999999998</v>
      </c>
      <c r="K9" s="13">
        <f t="shared" si="3"/>
        <v>93199.91</v>
      </c>
      <c r="L9" s="13">
        <f t="shared" si="3"/>
        <v>893283.28999999992</v>
      </c>
      <c r="M9" s="13">
        <f t="shared" si="3"/>
        <v>7871.8300000000017</v>
      </c>
      <c r="N9" s="13">
        <f t="shared" si="3"/>
        <v>4717.13</v>
      </c>
      <c r="O9" s="13">
        <f t="shared" si="3"/>
        <v>91347.62</v>
      </c>
      <c r="P9" s="13">
        <f t="shared" si="3"/>
        <v>25246.759999999995</v>
      </c>
      <c r="Q9" s="13">
        <f t="shared" si="3"/>
        <v>5025.67</v>
      </c>
      <c r="R9" s="13">
        <f t="shared" si="3"/>
        <v>38757.56</v>
      </c>
      <c r="S9" s="13">
        <f t="shared" si="3"/>
        <v>64754.02</v>
      </c>
      <c r="T9" s="13">
        <f t="shared" si="3"/>
        <v>24633.54</v>
      </c>
      <c r="U9" s="13">
        <f t="shared" si="3"/>
        <v>-196.19999999999891</v>
      </c>
      <c r="V9" s="13">
        <f t="shared" si="3"/>
        <v>21256.189999999995</v>
      </c>
      <c r="W9" s="13">
        <f t="shared" si="3"/>
        <v>69170.569999999992</v>
      </c>
      <c r="X9" s="13">
        <f t="shared" si="3"/>
        <v>3181.9900000000007</v>
      </c>
      <c r="Y9" s="13">
        <f t="shared" si="3"/>
        <v>86247.31</v>
      </c>
      <c r="Z9" s="13">
        <f t="shared" si="3"/>
        <v>-23011.710000000003</v>
      </c>
      <c r="AA9" s="13">
        <f t="shared" si="3"/>
        <v>2761.17</v>
      </c>
      <c r="AB9" s="13">
        <f t="shared" si="3"/>
        <v>898.15000000000009</v>
      </c>
      <c r="AC9" s="13">
        <f t="shared" si="3"/>
        <v>56249.01</v>
      </c>
      <c r="AD9" s="13">
        <f t="shared" si="3"/>
        <v>46895.570000000007</v>
      </c>
      <c r="AE9" s="13">
        <f t="shared" si="3"/>
        <v>20225.659999999996</v>
      </c>
      <c r="AF9" s="13">
        <f t="shared" si="3"/>
        <v>14764.47</v>
      </c>
      <c r="AG9" s="13">
        <f t="shared" si="3"/>
        <v>14942.099999999999</v>
      </c>
      <c r="AH9" s="13">
        <f t="shared" si="3"/>
        <v>81526.820000000007</v>
      </c>
      <c r="AI9" s="13">
        <f t="shared" si="3"/>
        <v>0</v>
      </c>
      <c r="AJ9" s="13">
        <f t="shared" si="3"/>
        <v>2291.0199999999995</v>
      </c>
      <c r="AK9" s="13">
        <f t="shared" si="3"/>
        <v>104974.54000000001</v>
      </c>
      <c r="AL9" s="13">
        <f t="shared" si="3"/>
        <v>40569</v>
      </c>
      <c r="AM9" s="13">
        <f t="shared" si="3"/>
        <v>85654.86</v>
      </c>
      <c r="AN9" s="13">
        <f t="shared" si="3"/>
        <v>12787.149999999998</v>
      </c>
      <c r="AO9" s="13">
        <f t="shared" si="3"/>
        <v>38961.65</v>
      </c>
      <c r="AP9" s="13">
        <f t="shared" si="3"/>
        <v>30726.130000000005</v>
      </c>
      <c r="AQ9" s="13">
        <f t="shared" si="3"/>
        <v>39316</v>
      </c>
      <c r="AR9" s="13">
        <f t="shared" si="3"/>
        <v>40722.12000000001</v>
      </c>
      <c r="AS9" s="13">
        <f t="shared" si="3"/>
        <v>-24618.9</v>
      </c>
      <c r="AT9" s="13">
        <f t="shared" si="3"/>
        <v>71533.58</v>
      </c>
      <c r="AU9" s="13">
        <f t="shared" si="3"/>
        <v>12662.86</v>
      </c>
      <c r="AV9" s="13">
        <f t="shared" si="3"/>
        <v>115150.42</v>
      </c>
      <c r="AW9" s="13">
        <f t="shared" si="3"/>
        <v>44939.97</v>
      </c>
      <c r="AX9" s="13">
        <f t="shared" si="3"/>
        <v>3167.1700000000005</v>
      </c>
      <c r="AY9" s="13">
        <f t="shared" si="3"/>
        <v>4406.92</v>
      </c>
      <c r="AZ9" s="13">
        <f t="shared" si="3"/>
        <v>218241.83000000002</v>
      </c>
      <c r="BA9" s="13">
        <f t="shared" si="3"/>
        <v>7176.52</v>
      </c>
      <c r="BB9" s="13">
        <f t="shared" si="3"/>
        <v>24550</v>
      </c>
      <c r="BC9" s="13">
        <f t="shared" si="3"/>
        <v>-5392.73</v>
      </c>
      <c r="BD9" s="13">
        <f t="shared" si="3"/>
        <v>398017.67000000004</v>
      </c>
      <c r="BE9" s="13">
        <f t="shared" si="3"/>
        <v>-11938.510000000002</v>
      </c>
      <c r="BF9" s="13">
        <f t="shared" si="0"/>
        <v>1881976.7300000002</v>
      </c>
      <c r="BG9" s="13">
        <f t="shared" si="1"/>
        <v>306971.56000000006</v>
      </c>
      <c r="BH9" s="13">
        <f t="shared" si="2"/>
        <v>1251608.2500000002</v>
      </c>
    </row>
    <row r="10" spans="1:60" x14ac:dyDescent="0.2">
      <c r="B10" s="169"/>
      <c r="D10" s="13"/>
      <c r="BF10" s="13"/>
      <c r="BG10" s="13"/>
      <c r="BH10" s="13"/>
    </row>
    <row r="11" spans="1:60" x14ac:dyDescent="0.2">
      <c r="A11" s="159" t="s">
        <v>136</v>
      </c>
      <c r="B11" s="160" t="s">
        <v>224</v>
      </c>
      <c r="C11" s="159">
        <v>4</v>
      </c>
      <c r="D11" s="161">
        <f>'Base de données indicateurs1'!BF38</f>
        <v>390997195.89000016</v>
      </c>
      <c r="E11" s="13">
        <f>'Base de données indicateurs1'!E38</f>
        <v>2612688.9700000002</v>
      </c>
      <c r="F11" s="13">
        <f>'Base de données indicateurs1'!F38</f>
        <v>1053880.1000000001</v>
      </c>
      <c r="G11" s="13">
        <f>'Base de données indicateurs1'!G38</f>
        <v>1889903.77</v>
      </c>
      <c r="H11" s="13">
        <f>'Base de données indicateurs1'!H38</f>
        <v>1924661.97</v>
      </c>
      <c r="I11" s="13">
        <f>'Base de données indicateurs1'!I38</f>
        <v>16678003</v>
      </c>
      <c r="J11" s="13">
        <f>'Base de données indicateurs1'!J38</f>
        <v>14443183.439999999</v>
      </c>
      <c r="K11" s="13">
        <f>'Base de données indicateurs1'!K38</f>
        <v>11992734.960000001</v>
      </c>
      <c r="L11" s="13">
        <f>'Base de données indicateurs1'!L38</f>
        <v>107873400.13</v>
      </c>
      <c r="M11" s="13">
        <f>'Base de données indicateurs1'!M38</f>
        <v>7906926.8700000001</v>
      </c>
      <c r="N11" s="13">
        <f>'Base de données indicateurs1'!N38</f>
        <v>466521.59999999998</v>
      </c>
      <c r="O11" s="13">
        <f>'Base de données indicateurs1'!O38</f>
        <v>28823854.039999999</v>
      </c>
      <c r="P11" s="13">
        <f>'Base de données indicateurs1'!P38</f>
        <v>1222236.96</v>
      </c>
      <c r="Q11" s="13">
        <f>'Base de données indicateurs1'!Q38</f>
        <v>426723.56</v>
      </c>
      <c r="R11" s="13">
        <f>'Base de données indicateurs1'!R38</f>
        <v>1121422.1000000001</v>
      </c>
      <c r="S11" s="13">
        <f>'Base de données indicateurs1'!S38</f>
        <v>1669195.78</v>
      </c>
      <c r="T11" s="13">
        <f>'Base de données indicateurs1'!T38</f>
        <v>3424657.75</v>
      </c>
      <c r="U11" s="13">
        <f>'Base de données indicateurs1'!U38</f>
        <v>967753.02</v>
      </c>
      <c r="V11" s="13">
        <f>'Base de données indicateurs1'!V38</f>
        <v>2308640.56</v>
      </c>
      <c r="W11" s="13">
        <f>'Base de données indicateurs1'!W38</f>
        <v>12830390.1</v>
      </c>
      <c r="X11" s="13">
        <f>'Base de données indicateurs1'!X38</f>
        <v>1940302.3</v>
      </c>
      <c r="Y11" s="13">
        <f>'Base de données indicateurs1'!Y38</f>
        <v>4846822.5999999996</v>
      </c>
      <c r="Z11" s="13">
        <f>'Base de données indicateurs1'!Z38</f>
        <v>10408715.17</v>
      </c>
      <c r="AA11" s="13">
        <f>'Base de données indicateurs1'!AA38</f>
        <v>232528.25</v>
      </c>
      <c r="AB11" s="13">
        <f>'Base de données indicateurs1'!AB38</f>
        <v>1124629.0900000001</v>
      </c>
      <c r="AC11" s="13">
        <f>'Base de données indicateurs1'!AC38</f>
        <v>2781468.3</v>
      </c>
      <c r="AD11" s="13">
        <f>'Base de données indicateurs1'!AD38</f>
        <v>1886970.12</v>
      </c>
      <c r="AE11" s="13">
        <f>'Base de données indicateurs1'!AE38</f>
        <v>2861906.21</v>
      </c>
      <c r="AF11" s="13">
        <f>'Base de données indicateurs1'!AF38</f>
        <v>3532943.77</v>
      </c>
      <c r="AG11" s="13">
        <f>'Base de données indicateurs1'!AG38</f>
        <v>10362713.060000001</v>
      </c>
      <c r="AH11" s="13">
        <f>'Base de données indicateurs1'!AH38</f>
        <v>12459995.75</v>
      </c>
      <c r="AI11" s="13">
        <f>'Base de données indicateurs1'!AI38</f>
        <v>812277</v>
      </c>
      <c r="AJ11" s="13">
        <f>'Base de données indicateurs1'!AJ38</f>
        <v>1009396.35</v>
      </c>
      <c r="AK11" s="13">
        <f>'Base de données indicateurs1'!AK38</f>
        <v>8724919.5899999999</v>
      </c>
      <c r="AL11" s="13">
        <f>'Base de données indicateurs1'!AL38</f>
        <v>5640011</v>
      </c>
      <c r="AM11" s="13">
        <f>'Base de données indicateurs1'!AM38</f>
        <v>5172015.04</v>
      </c>
      <c r="AN11" s="13">
        <f>'Base de données indicateurs1'!AN38</f>
        <v>603829.87</v>
      </c>
      <c r="AO11" s="13">
        <f>'Base de données indicateurs1'!AO38</f>
        <v>10175273.029999999</v>
      </c>
      <c r="AP11" s="13">
        <f>'Base de données indicateurs1'!AP38</f>
        <v>3693506.1</v>
      </c>
      <c r="AQ11" s="13">
        <f>'Base de données indicateurs1'!AQ38</f>
        <v>2426914</v>
      </c>
      <c r="AR11" s="13">
        <f>'Base de données indicateurs1'!AR38</f>
        <v>3068900.23</v>
      </c>
      <c r="AS11" s="13">
        <f>'Base de données indicateurs1'!AS38</f>
        <v>3260984.5</v>
      </c>
      <c r="AT11" s="13">
        <f>'Base de données indicateurs1'!AT38</f>
        <v>2541861.7200000002</v>
      </c>
      <c r="AU11" s="13">
        <f>'Base de données indicateurs1'!AU38</f>
        <v>1544975.21</v>
      </c>
      <c r="AV11" s="13">
        <f>'Base de données indicateurs1'!AV38</f>
        <v>6808270.2599999998</v>
      </c>
      <c r="AW11" s="13">
        <f>'Base de données indicateurs1'!AW38</f>
        <v>3293941.63</v>
      </c>
      <c r="AX11" s="13">
        <f>'Base de données indicateurs1'!AX38</f>
        <v>769190.35</v>
      </c>
      <c r="AY11" s="13">
        <f>'Base de données indicateurs1'!AY38</f>
        <v>1311205.6100000001</v>
      </c>
      <c r="AZ11" s="13">
        <f>'Base de données indicateurs1'!AZ38</f>
        <v>4826681.75</v>
      </c>
      <c r="BA11" s="13">
        <f>'Base de données indicateurs1'!BA38</f>
        <v>1615808.17</v>
      </c>
      <c r="BB11" s="13">
        <f>'Base de données indicateurs1'!BB38</f>
        <v>5996865</v>
      </c>
      <c r="BC11" s="13">
        <f>'Base de données indicateurs1'!BC38</f>
        <v>384685</v>
      </c>
      <c r="BD11" s="13">
        <f>'Base de données indicateurs1'!BD38</f>
        <v>42638657.090000004</v>
      </c>
      <c r="BE11" s="13">
        <f>'Base de données indicateurs1'!BE38</f>
        <v>2601254.09</v>
      </c>
      <c r="BF11" s="13">
        <f t="shared" si="0"/>
        <v>219636778.68000001</v>
      </c>
      <c r="BG11" s="13">
        <f t="shared" si="1"/>
        <v>54260667.970000006</v>
      </c>
      <c r="BH11" s="13">
        <f t="shared" si="2"/>
        <v>117099749.24000001</v>
      </c>
    </row>
    <row r="12" spans="1:60" x14ac:dyDescent="0.2">
      <c r="A12" s="162" t="s">
        <v>118</v>
      </c>
      <c r="B12" s="163" t="s">
        <v>225</v>
      </c>
      <c r="C12" s="162">
        <v>47</v>
      </c>
      <c r="D12" s="164">
        <f>'Base de données indicateurs1'!BF51</f>
        <v>2342383.85</v>
      </c>
      <c r="E12" s="13">
        <f>'Base de données indicateurs1'!E51</f>
        <v>0</v>
      </c>
      <c r="F12" s="13">
        <f>'Base de données indicateurs1'!F51</f>
        <v>0</v>
      </c>
      <c r="G12" s="13">
        <f>'Base de données indicateurs1'!G51</f>
        <v>0</v>
      </c>
      <c r="H12" s="13">
        <f>'Base de données indicateurs1'!H51</f>
        <v>0</v>
      </c>
      <c r="I12" s="13">
        <f>'Base de données indicateurs1'!I51</f>
        <v>0</v>
      </c>
      <c r="J12" s="13">
        <f>'Base de données indicateurs1'!J51</f>
        <v>0</v>
      </c>
      <c r="K12" s="13">
        <f>'Base de données indicateurs1'!K51</f>
        <v>0</v>
      </c>
      <c r="L12" s="13">
        <f>'Base de données indicateurs1'!L51</f>
        <v>0</v>
      </c>
      <c r="M12" s="13">
        <f>'Base de données indicateurs1'!M51</f>
        <v>0</v>
      </c>
      <c r="N12" s="13">
        <f>'Base de données indicateurs1'!N51</f>
        <v>0</v>
      </c>
      <c r="O12" s="13">
        <f>'Base de données indicateurs1'!O51</f>
        <v>0</v>
      </c>
      <c r="P12" s="13">
        <f>'Base de données indicateurs1'!P51</f>
        <v>0</v>
      </c>
      <c r="Q12" s="13">
        <f>'Base de données indicateurs1'!Q51</f>
        <v>0</v>
      </c>
      <c r="R12" s="13">
        <f>'Base de données indicateurs1'!R51</f>
        <v>0</v>
      </c>
      <c r="S12" s="13">
        <f>'Base de données indicateurs1'!S51</f>
        <v>0</v>
      </c>
      <c r="T12" s="13">
        <f>'Base de données indicateurs1'!T51</f>
        <v>0</v>
      </c>
      <c r="U12" s="13">
        <f>'Base de données indicateurs1'!U51</f>
        <v>0</v>
      </c>
      <c r="V12" s="13">
        <f>'Base de données indicateurs1'!V51</f>
        <v>0</v>
      </c>
      <c r="W12" s="13">
        <f>'Base de données indicateurs1'!W51</f>
        <v>0</v>
      </c>
      <c r="X12" s="13">
        <f>'Base de données indicateurs1'!X51</f>
        <v>0</v>
      </c>
      <c r="Y12" s="13">
        <f>'Base de données indicateurs1'!Y51</f>
        <v>0</v>
      </c>
      <c r="Z12" s="13">
        <f>'Base de données indicateurs1'!Z51</f>
        <v>428988.05</v>
      </c>
      <c r="AA12" s="13">
        <f>'Base de données indicateurs1'!AA51</f>
        <v>159801.5</v>
      </c>
      <c r="AB12" s="13">
        <f>'Base de données indicateurs1'!AB51</f>
        <v>202119.25</v>
      </c>
      <c r="AC12" s="13">
        <f>'Base de données indicateurs1'!AC51</f>
        <v>157194.6</v>
      </c>
      <c r="AD12" s="13">
        <f>'Base de données indicateurs1'!AD51</f>
        <v>0</v>
      </c>
      <c r="AE12" s="13">
        <f>'Base de données indicateurs1'!AE51</f>
        <v>239155.5</v>
      </c>
      <c r="AF12" s="13">
        <f>'Base de données indicateurs1'!AF51</f>
        <v>593825.5</v>
      </c>
      <c r="AG12" s="13">
        <f>'Base de données indicateurs1'!AG51</f>
        <v>420715.45</v>
      </c>
      <c r="AH12" s="13">
        <f>'Base de données indicateurs1'!AH51</f>
        <v>0</v>
      </c>
      <c r="AI12" s="13">
        <f>'Base de données indicateurs1'!AI51</f>
        <v>4182</v>
      </c>
      <c r="AJ12" s="13">
        <f>'Base de données indicateurs1'!AJ51</f>
        <v>0</v>
      </c>
      <c r="AK12" s="13">
        <f>'Base de données indicateurs1'!AK51</f>
        <v>0</v>
      </c>
      <c r="AL12" s="13">
        <f>'Base de données indicateurs1'!AL51</f>
        <v>0</v>
      </c>
      <c r="AM12" s="13">
        <f>'Base de données indicateurs1'!AM51</f>
        <v>0</v>
      </c>
      <c r="AN12" s="13">
        <f>'Base de données indicateurs1'!AN51</f>
        <v>0</v>
      </c>
      <c r="AO12" s="13">
        <f>'Base de données indicateurs1'!AO51</f>
        <v>0</v>
      </c>
      <c r="AP12" s="13">
        <f>'Base de données indicateurs1'!AP51</f>
        <v>0</v>
      </c>
      <c r="AQ12" s="13">
        <f>'Base de données indicateurs1'!AQ51</f>
        <v>0</v>
      </c>
      <c r="AR12" s="13">
        <f>'Base de données indicateurs1'!AR51</f>
        <v>56609.599999999999</v>
      </c>
      <c r="AS12" s="13">
        <f>'Base de données indicateurs1'!AS51</f>
        <v>0</v>
      </c>
      <c r="AT12" s="13">
        <f>'Base de données indicateurs1'!AT51</f>
        <v>0</v>
      </c>
      <c r="AU12" s="13">
        <f>'Base de données indicateurs1'!AU51</f>
        <v>0</v>
      </c>
      <c r="AV12" s="13">
        <f>'Base de données indicateurs1'!AV51</f>
        <v>79792.399999999994</v>
      </c>
      <c r="AW12" s="13">
        <f>'Base de données indicateurs1'!AW51</f>
        <v>0</v>
      </c>
      <c r="AX12" s="13">
        <f>'Base de données indicateurs1'!AX51</f>
        <v>0</v>
      </c>
      <c r="AY12" s="13">
        <f>'Base de données indicateurs1'!AY51</f>
        <v>0</v>
      </c>
      <c r="AZ12" s="13">
        <f>'Base de données indicateurs1'!AZ51</f>
        <v>0</v>
      </c>
      <c r="BA12" s="13">
        <f>'Base de données indicateurs1'!BA51</f>
        <v>0</v>
      </c>
      <c r="BB12" s="13">
        <f>'Base de données indicateurs1'!BB51</f>
        <v>0</v>
      </c>
      <c r="BC12" s="13">
        <f>'Base de données indicateurs1'!BC51</f>
        <v>0</v>
      </c>
      <c r="BD12" s="13">
        <f>'Base de données indicateurs1'!BD51</f>
        <v>0</v>
      </c>
      <c r="BE12" s="13">
        <f>'Base de données indicateurs1'!BE51</f>
        <v>0</v>
      </c>
      <c r="BF12" s="13">
        <f t="shared" si="0"/>
        <v>0</v>
      </c>
      <c r="BG12" s="13">
        <f t="shared" si="1"/>
        <v>2205981.85</v>
      </c>
      <c r="BH12" s="13">
        <f t="shared" si="2"/>
        <v>136402</v>
      </c>
    </row>
    <row r="13" spans="1:60" x14ac:dyDescent="0.2">
      <c r="A13" s="162" t="s">
        <v>127</v>
      </c>
      <c r="B13" s="163" t="s">
        <v>225</v>
      </c>
      <c r="C13" s="162">
        <v>49</v>
      </c>
      <c r="D13" s="164">
        <f>'Base de données indicateurs1'!BF54</f>
        <v>6557385.0099999998</v>
      </c>
      <c r="E13" s="13">
        <f>'Base de données indicateurs1'!E54</f>
        <v>0</v>
      </c>
      <c r="F13" s="13">
        <f>'Base de données indicateurs1'!F54</f>
        <v>23995.279999999999</v>
      </c>
      <c r="G13" s="13">
        <f>'Base de données indicateurs1'!G54</f>
        <v>10960.2</v>
      </c>
      <c r="H13" s="13">
        <f>'Base de données indicateurs1'!H54</f>
        <v>40456</v>
      </c>
      <c r="I13" s="13">
        <f>'Base de données indicateurs1'!I54</f>
        <v>311300</v>
      </c>
      <c r="J13" s="13">
        <f>'Base de données indicateurs1'!J54</f>
        <v>65470</v>
      </c>
      <c r="K13" s="13">
        <f>'Base de données indicateurs1'!K54</f>
        <v>185959.25</v>
      </c>
      <c r="L13" s="13">
        <f>'Base de données indicateurs1'!L54</f>
        <v>4472239.75</v>
      </c>
      <c r="M13" s="13">
        <f>'Base de données indicateurs1'!M54</f>
        <v>88638.64</v>
      </c>
      <c r="N13" s="13">
        <f>'Base de données indicateurs1'!N54</f>
        <v>9074.49</v>
      </c>
      <c r="O13" s="13">
        <f>'Base de données indicateurs1'!O54</f>
        <v>186891</v>
      </c>
      <c r="P13" s="13">
        <f>'Base de données indicateurs1'!P54</f>
        <v>29305.55</v>
      </c>
      <c r="Q13" s="13">
        <f>'Base de données indicateurs1'!Q54</f>
        <v>500</v>
      </c>
      <c r="R13" s="13">
        <f>'Base de données indicateurs1'!R54</f>
        <v>57467.6</v>
      </c>
      <c r="S13" s="13">
        <f>'Base de données indicateurs1'!S54</f>
        <v>0</v>
      </c>
      <c r="T13" s="13">
        <f>'Base de données indicateurs1'!T54</f>
        <v>0</v>
      </c>
      <c r="U13" s="13">
        <f>'Base de données indicateurs1'!U54</f>
        <v>0</v>
      </c>
      <c r="V13" s="13">
        <f>'Base de données indicateurs1'!V54</f>
        <v>59200</v>
      </c>
      <c r="W13" s="13">
        <f>'Base de données indicateurs1'!W54</f>
        <v>111300</v>
      </c>
      <c r="X13" s="13">
        <f>'Base de données indicateurs1'!X54</f>
        <v>0</v>
      </c>
      <c r="Y13" s="13">
        <f>'Base de données indicateurs1'!Y54</f>
        <v>0</v>
      </c>
      <c r="Z13" s="13">
        <f>'Base de données indicateurs1'!Z54</f>
        <v>84000</v>
      </c>
      <c r="AA13" s="13">
        <f>'Base de données indicateurs1'!AA54</f>
        <v>15194</v>
      </c>
      <c r="AB13" s="13">
        <f>'Base de données indicateurs1'!AB54</f>
        <v>0</v>
      </c>
      <c r="AC13" s="13">
        <f>'Base de données indicateurs1'!AC54</f>
        <v>0</v>
      </c>
      <c r="AD13" s="13">
        <f>'Base de données indicateurs1'!AD54</f>
        <v>0</v>
      </c>
      <c r="AE13" s="13">
        <f>'Base de données indicateurs1'!AE54</f>
        <v>42750</v>
      </c>
      <c r="AF13" s="13">
        <f>'Base de données indicateurs1'!AF54</f>
        <v>109873.3</v>
      </c>
      <c r="AG13" s="13">
        <f>'Base de données indicateurs1'!AG54</f>
        <v>7274.65</v>
      </c>
      <c r="AH13" s="13">
        <f>'Base de données indicateurs1'!AH54</f>
        <v>30500</v>
      </c>
      <c r="AI13" s="13">
        <f>'Base de données indicateurs1'!AI54</f>
        <v>0</v>
      </c>
      <c r="AJ13" s="13">
        <f>'Base de données indicateurs1'!AJ54</f>
        <v>0</v>
      </c>
      <c r="AK13" s="13">
        <f>'Base de données indicateurs1'!AK54</f>
        <v>93000</v>
      </c>
      <c r="AL13" s="13">
        <f>'Base de données indicateurs1'!AL54</f>
        <v>60365</v>
      </c>
      <c r="AM13" s="13">
        <f>'Base de données indicateurs1'!AM54</f>
        <v>3520</v>
      </c>
      <c r="AN13" s="13">
        <f>'Base de données indicateurs1'!AN54</f>
        <v>240</v>
      </c>
      <c r="AO13" s="13">
        <f>'Base de données indicateurs1'!AO54</f>
        <v>68595.55</v>
      </c>
      <c r="AP13" s="13">
        <f>'Base de données indicateurs1'!AP54</f>
        <v>101766.8</v>
      </c>
      <c r="AQ13" s="13">
        <f>'Base de données indicateurs1'!AQ54</f>
        <v>0</v>
      </c>
      <c r="AR13" s="13">
        <f>'Base de données indicateurs1'!AR54</f>
        <v>0</v>
      </c>
      <c r="AS13" s="13">
        <f>'Base de données indicateurs1'!AS54</f>
        <v>121643.75</v>
      </c>
      <c r="AT13" s="13">
        <f>'Base de données indicateurs1'!AT54</f>
        <v>39687.449999999997</v>
      </c>
      <c r="AU13" s="13">
        <f>'Base de données indicateurs1'!AU54</f>
        <v>200</v>
      </c>
      <c r="AV13" s="13">
        <f>'Base de données indicateurs1'!AV54</f>
        <v>57192.25</v>
      </c>
      <c r="AW13" s="13">
        <f>'Base de données indicateurs1'!AW54</f>
        <v>0</v>
      </c>
      <c r="AX13" s="13">
        <f>'Base de données indicateurs1'!AX54</f>
        <v>7038.5</v>
      </c>
      <c r="AY13" s="13">
        <f>'Base de données indicateurs1'!AY54</f>
        <v>0</v>
      </c>
      <c r="AZ13" s="13">
        <f>'Base de données indicateurs1'!AZ54</f>
        <v>0</v>
      </c>
      <c r="BA13" s="13">
        <f>'Base de données indicateurs1'!BA54</f>
        <v>0</v>
      </c>
      <c r="BB13" s="13">
        <f>'Base de données indicateurs1'!BB54</f>
        <v>46286</v>
      </c>
      <c r="BC13" s="13">
        <f>'Base de données indicateurs1'!BC54</f>
        <v>0</v>
      </c>
      <c r="BD13" s="13">
        <f>'Base de données indicateurs1'!BD54</f>
        <v>0</v>
      </c>
      <c r="BE13" s="13">
        <f>'Base de données indicateurs1'!BE54</f>
        <v>15500</v>
      </c>
      <c r="BF13" s="13">
        <f t="shared" si="0"/>
        <v>5652757.7599999998</v>
      </c>
      <c r="BG13" s="13">
        <f t="shared" si="1"/>
        <v>289591.94999999995</v>
      </c>
      <c r="BH13" s="13">
        <f t="shared" si="2"/>
        <v>615035.30000000005</v>
      </c>
    </row>
    <row r="14" spans="1:60" x14ac:dyDescent="0.2">
      <c r="A14" s="162" t="s">
        <v>232</v>
      </c>
      <c r="B14" s="163" t="s">
        <v>225</v>
      </c>
      <c r="C14" s="170">
        <v>489</v>
      </c>
      <c r="D14" s="164">
        <f>'Base de données indicateurs1'!BF52</f>
        <v>4143888.6699999995</v>
      </c>
      <c r="E14" s="13">
        <f>'Base de données indicateurs1'!E52</f>
        <v>7472.67</v>
      </c>
      <c r="F14" s="13">
        <f>'Base de données indicateurs1'!F52</f>
        <v>0</v>
      </c>
      <c r="G14" s="13">
        <f>'Base de données indicateurs1'!G52</f>
        <v>0</v>
      </c>
      <c r="H14" s="13">
        <f>'Base de données indicateurs1'!H52</f>
        <v>0</v>
      </c>
      <c r="I14" s="13">
        <f>'Base de données indicateurs1'!I52</f>
        <v>0</v>
      </c>
      <c r="J14" s="13">
        <f>'Base de données indicateurs1'!J52</f>
        <v>190359.86</v>
      </c>
      <c r="K14" s="13">
        <f>'Base de données indicateurs1'!K52</f>
        <v>0</v>
      </c>
      <c r="L14" s="13">
        <f>'Base de données indicateurs1'!L52</f>
        <v>2500000</v>
      </c>
      <c r="M14" s="13">
        <f>'Base de données indicateurs1'!M52</f>
        <v>10700</v>
      </c>
      <c r="N14" s="13">
        <f>'Base de données indicateurs1'!N52</f>
        <v>0</v>
      </c>
      <c r="O14" s="13">
        <f>'Base de données indicateurs1'!O52</f>
        <v>60684.04</v>
      </c>
      <c r="P14" s="13">
        <f>'Base de données indicateurs1'!P52</f>
        <v>29578.3</v>
      </c>
      <c r="Q14" s="13">
        <f>'Base de données indicateurs1'!Q52</f>
        <v>0</v>
      </c>
      <c r="R14" s="13">
        <f>'Base de données indicateurs1'!R52</f>
        <v>0</v>
      </c>
      <c r="S14" s="13">
        <f>'Base de données indicateurs1'!S52</f>
        <v>240001.25</v>
      </c>
      <c r="T14" s="13">
        <f>'Base de données indicateurs1'!T52</f>
        <v>26100</v>
      </c>
      <c r="U14" s="13">
        <f>'Base de données indicateurs1'!U52</f>
        <v>40667.550000000003</v>
      </c>
      <c r="V14" s="13">
        <f>'Base de données indicateurs1'!V52</f>
        <v>0</v>
      </c>
      <c r="W14" s="13">
        <f>'Base de données indicateurs1'!W52</f>
        <v>133028</v>
      </c>
      <c r="X14" s="13">
        <f>'Base de données indicateurs1'!X52</f>
        <v>0</v>
      </c>
      <c r="Y14" s="13">
        <f>'Base de données indicateurs1'!Y52</f>
        <v>0</v>
      </c>
      <c r="Z14" s="13">
        <f>'Base de données indicateurs1'!Z52</f>
        <v>0</v>
      </c>
      <c r="AA14" s="13">
        <f>'Base de données indicateurs1'!AA52</f>
        <v>0</v>
      </c>
      <c r="AB14" s="13">
        <f>'Base de données indicateurs1'!AB52</f>
        <v>0</v>
      </c>
      <c r="AC14" s="13">
        <f>'Base de données indicateurs1'!AC52</f>
        <v>0</v>
      </c>
      <c r="AD14" s="13">
        <f>'Base de données indicateurs1'!AD52</f>
        <v>0</v>
      </c>
      <c r="AE14" s="13">
        <f>'Base de données indicateurs1'!AE52</f>
        <v>96</v>
      </c>
      <c r="AF14" s="13">
        <f>'Base de données indicateurs1'!AF52</f>
        <v>0</v>
      </c>
      <c r="AG14" s="13">
        <f>'Base de données indicateurs1'!AG52</f>
        <v>0</v>
      </c>
      <c r="AH14" s="13">
        <f>'Base de données indicateurs1'!AH52</f>
        <v>0</v>
      </c>
      <c r="AI14" s="13">
        <f>'Base de données indicateurs1'!AI52</f>
        <v>0</v>
      </c>
      <c r="AJ14" s="13">
        <f>'Base de données indicateurs1'!AJ52</f>
        <v>0</v>
      </c>
      <c r="AK14" s="13">
        <f>'Base de données indicateurs1'!AK52</f>
        <v>0</v>
      </c>
      <c r="AL14" s="13">
        <f>'Base de données indicateurs1'!AL52</f>
        <v>40000</v>
      </c>
      <c r="AM14" s="13">
        <f>'Base de données indicateurs1'!AM52</f>
        <v>0</v>
      </c>
      <c r="AN14" s="13">
        <f>'Base de données indicateurs1'!AN52</f>
        <v>4800</v>
      </c>
      <c r="AO14" s="13">
        <f>'Base de données indicateurs1'!AO52</f>
        <v>0</v>
      </c>
      <c r="AP14" s="13">
        <f>'Base de données indicateurs1'!AP52</f>
        <v>0</v>
      </c>
      <c r="AQ14" s="13">
        <f>'Base de données indicateurs1'!AQ52</f>
        <v>130567</v>
      </c>
      <c r="AR14" s="13">
        <f>'Base de données indicateurs1'!AR52</f>
        <v>0</v>
      </c>
      <c r="AS14" s="13">
        <f>'Base de données indicateurs1'!AS52</f>
        <v>422</v>
      </c>
      <c r="AT14" s="13">
        <f>'Base de données indicateurs1'!AT52</f>
        <v>20000</v>
      </c>
      <c r="AU14" s="13">
        <f>'Base de données indicateurs1'!AU52</f>
        <v>50338</v>
      </c>
      <c r="AV14" s="13">
        <f>'Base de données indicateurs1'!AV52</f>
        <v>0</v>
      </c>
      <c r="AW14" s="13">
        <f>'Base de données indicateurs1'!AW52</f>
        <v>633</v>
      </c>
      <c r="AX14" s="13">
        <f>'Base de données indicateurs1'!AX52</f>
        <v>5207</v>
      </c>
      <c r="AY14" s="13">
        <f>'Base de données indicateurs1'!AY52</f>
        <v>0</v>
      </c>
      <c r="AZ14" s="13">
        <f>'Base de données indicateurs1'!AZ52</f>
        <v>151597</v>
      </c>
      <c r="BA14" s="13">
        <f>'Base de données indicateurs1'!BA52</f>
        <v>319</v>
      </c>
      <c r="BB14" s="13">
        <f>'Base de données indicateurs1'!BB52</f>
        <v>1083</v>
      </c>
      <c r="BC14" s="13">
        <f>'Base de données indicateurs1'!BC52</f>
        <v>235</v>
      </c>
      <c r="BD14" s="13">
        <f>'Base de données indicateurs1'!BD52</f>
        <v>500000</v>
      </c>
      <c r="BE14" s="13">
        <f>'Base de données indicateurs1'!BE52</f>
        <v>0</v>
      </c>
      <c r="BF14" s="13">
        <f t="shared" si="0"/>
        <v>3238591.6699999995</v>
      </c>
      <c r="BG14" s="13">
        <f t="shared" si="1"/>
        <v>96</v>
      </c>
      <c r="BH14" s="13">
        <f t="shared" si="2"/>
        <v>905201</v>
      </c>
    </row>
    <row r="15" spans="1:60" x14ac:dyDescent="0.2">
      <c r="A15" s="162" t="s">
        <v>517</v>
      </c>
      <c r="B15" s="163" t="s">
        <v>224</v>
      </c>
      <c r="C15" s="162">
        <v>4896</v>
      </c>
      <c r="D15" s="164">
        <f>'Base de données indicateurs1'!BF53</f>
        <v>0</v>
      </c>
      <c r="E15" s="13">
        <f>'Base de données indicateurs1'!E53</f>
        <v>0</v>
      </c>
      <c r="F15" s="13">
        <f>'Base de données indicateurs1'!F53</f>
        <v>0</v>
      </c>
      <c r="G15" s="13">
        <f>'Base de données indicateurs1'!G53</f>
        <v>0</v>
      </c>
      <c r="H15" s="13">
        <f>'Base de données indicateurs1'!H53</f>
        <v>0</v>
      </c>
      <c r="I15" s="13">
        <f>'Base de données indicateurs1'!I53</f>
        <v>0</v>
      </c>
      <c r="J15" s="13">
        <f>'Base de données indicateurs1'!J53</f>
        <v>0</v>
      </c>
      <c r="K15" s="13">
        <f>'Base de données indicateurs1'!K53</f>
        <v>0</v>
      </c>
      <c r="L15" s="13">
        <f>'Base de données indicateurs1'!L53</f>
        <v>0</v>
      </c>
      <c r="M15" s="13">
        <f>'Base de données indicateurs1'!M53</f>
        <v>0</v>
      </c>
      <c r="N15" s="13">
        <f>'Base de données indicateurs1'!N53</f>
        <v>0</v>
      </c>
      <c r="O15" s="13">
        <f>'Base de données indicateurs1'!O53</f>
        <v>0</v>
      </c>
      <c r="P15" s="13">
        <f>'Base de données indicateurs1'!P53</f>
        <v>0</v>
      </c>
      <c r="Q15" s="13">
        <f>'Base de données indicateurs1'!Q53</f>
        <v>0</v>
      </c>
      <c r="R15" s="13">
        <f>'Base de données indicateurs1'!R53</f>
        <v>0</v>
      </c>
      <c r="S15" s="13">
        <f>'Base de données indicateurs1'!S53</f>
        <v>0</v>
      </c>
      <c r="T15" s="13">
        <f>'Base de données indicateurs1'!T53</f>
        <v>0</v>
      </c>
      <c r="U15" s="13">
        <f>'Base de données indicateurs1'!U53</f>
        <v>0</v>
      </c>
      <c r="V15" s="13">
        <f>'Base de données indicateurs1'!V53</f>
        <v>0</v>
      </c>
      <c r="W15" s="13">
        <f>'Base de données indicateurs1'!W53</f>
        <v>0</v>
      </c>
      <c r="X15" s="13">
        <f>'Base de données indicateurs1'!X53</f>
        <v>0</v>
      </c>
      <c r="Y15" s="13">
        <f>'Base de données indicateurs1'!Y53</f>
        <v>0</v>
      </c>
      <c r="Z15" s="13">
        <f>'Base de données indicateurs1'!Z53</f>
        <v>0</v>
      </c>
      <c r="AA15" s="13">
        <f>'Base de données indicateurs1'!AA53</f>
        <v>0</v>
      </c>
      <c r="AB15" s="13">
        <f>'Base de données indicateurs1'!AB53</f>
        <v>0</v>
      </c>
      <c r="AC15" s="13">
        <f>'Base de données indicateurs1'!AC53</f>
        <v>0</v>
      </c>
      <c r="AD15" s="13">
        <f>'Base de données indicateurs1'!AD53</f>
        <v>0</v>
      </c>
      <c r="AE15" s="13">
        <f>'Base de données indicateurs1'!AE53</f>
        <v>0</v>
      </c>
      <c r="AF15" s="13">
        <f>'Base de données indicateurs1'!AF53</f>
        <v>0</v>
      </c>
      <c r="AG15" s="13">
        <f>'Base de données indicateurs1'!AG53</f>
        <v>0</v>
      </c>
      <c r="AH15" s="13">
        <f>'Base de données indicateurs1'!AH53</f>
        <v>0</v>
      </c>
      <c r="AI15" s="13">
        <f>'Base de données indicateurs1'!AI53</f>
        <v>0</v>
      </c>
      <c r="AJ15" s="13">
        <f>'Base de données indicateurs1'!AJ53</f>
        <v>0</v>
      </c>
      <c r="AK15" s="13">
        <f>'Base de données indicateurs1'!AK53</f>
        <v>0</v>
      </c>
      <c r="AL15" s="13">
        <f>'Base de données indicateurs1'!AL53</f>
        <v>0</v>
      </c>
      <c r="AM15" s="13">
        <f>'Base de données indicateurs1'!AM53</f>
        <v>0</v>
      </c>
      <c r="AN15" s="13">
        <f>'Base de données indicateurs1'!AN53</f>
        <v>0</v>
      </c>
      <c r="AO15" s="13">
        <f>'Base de données indicateurs1'!AO53</f>
        <v>0</v>
      </c>
      <c r="AP15" s="13">
        <f>'Base de données indicateurs1'!AP53</f>
        <v>0</v>
      </c>
      <c r="AQ15" s="13">
        <f>'Base de données indicateurs1'!AQ53</f>
        <v>0</v>
      </c>
      <c r="AR15" s="13">
        <f>'Base de données indicateurs1'!AR53</f>
        <v>0</v>
      </c>
      <c r="AS15" s="13">
        <f>'Base de données indicateurs1'!AS53</f>
        <v>0</v>
      </c>
      <c r="AT15" s="13">
        <f>'Base de données indicateurs1'!AT53</f>
        <v>0</v>
      </c>
      <c r="AU15" s="13">
        <f>'Base de données indicateurs1'!AU53</f>
        <v>0</v>
      </c>
      <c r="AV15" s="13">
        <f>'Base de données indicateurs1'!AV53</f>
        <v>0</v>
      </c>
      <c r="AW15" s="13">
        <f>'Base de données indicateurs1'!AW53</f>
        <v>0</v>
      </c>
      <c r="AX15" s="13">
        <f>'Base de données indicateurs1'!AX53</f>
        <v>0</v>
      </c>
      <c r="AY15" s="13">
        <f>'Base de données indicateurs1'!AY53</f>
        <v>0</v>
      </c>
      <c r="AZ15" s="13">
        <f>'Base de données indicateurs1'!AZ53</f>
        <v>0</v>
      </c>
      <c r="BA15" s="13">
        <f>'Base de données indicateurs1'!BA53</f>
        <v>0</v>
      </c>
      <c r="BB15" s="13">
        <f>'Base de données indicateurs1'!BB53</f>
        <v>0</v>
      </c>
      <c r="BC15" s="13">
        <f>'Base de données indicateurs1'!BC53</f>
        <v>0</v>
      </c>
      <c r="BD15" s="13">
        <f>'Base de données indicateurs1'!BD53</f>
        <v>0</v>
      </c>
      <c r="BE15" s="13">
        <f>'Base de données indicateurs1'!BE53</f>
        <v>0</v>
      </c>
      <c r="BF15" s="13">
        <f t="shared" si="0"/>
        <v>0</v>
      </c>
      <c r="BG15" s="13">
        <f t="shared" si="1"/>
        <v>0</v>
      </c>
      <c r="BH15" s="13">
        <f t="shared" si="2"/>
        <v>0</v>
      </c>
    </row>
    <row r="16" spans="1:60" ht="15" thickBot="1" x14ac:dyDescent="0.25">
      <c r="A16" s="165"/>
      <c r="B16" s="166"/>
      <c r="C16" s="165"/>
      <c r="D16" s="167"/>
      <c r="BF16" s="13"/>
      <c r="BG16" s="13"/>
      <c r="BH16" s="13"/>
    </row>
    <row r="17" spans="1:60" ht="15.75" thickBot="1" x14ac:dyDescent="0.3">
      <c r="A17" s="7" t="s">
        <v>518</v>
      </c>
      <c r="B17" s="112"/>
      <c r="C17" s="7"/>
      <c r="D17" s="168">
        <f>SUM(D11,D15)-SUM(D12:D14)</f>
        <v>377953538.36000019</v>
      </c>
      <c r="E17" s="177">
        <f>SUM(E11,E15)-SUM(E12:E14)</f>
        <v>2605216.3000000003</v>
      </c>
      <c r="F17" s="167">
        <f t="shared" ref="F17:BE17" si="4">SUM(F11,F15)-SUM(F12:F14)</f>
        <v>1029884.8200000001</v>
      </c>
      <c r="G17" s="167">
        <f t="shared" si="4"/>
        <v>1878943.57</v>
      </c>
      <c r="H17" s="167">
        <f t="shared" si="4"/>
        <v>1884205.97</v>
      </c>
      <c r="I17" s="167">
        <f t="shared" si="4"/>
        <v>16366703</v>
      </c>
      <c r="J17" s="167">
        <f t="shared" si="4"/>
        <v>14187353.58</v>
      </c>
      <c r="K17" s="167">
        <f t="shared" si="4"/>
        <v>11806775.710000001</v>
      </c>
      <c r="L17" s="167">
        <f t="shared" si="4"/>
        <v>100901160.38</v>
      </c>
      <c r="M17" s="167">
        <f t="shared" si="4"/>
        <v>7807588.2300000004</v>
      </c>
      <c r="N17" s="167">
        <f t="shared" si="4"/>
        <v>457447.11</v>
      </c>
      <c r="O17" s="167">
        <f t="shared" si="4"/>
        <v>28576279</v>
      </c>
      <c r="P17" s="167">
        <f t="shared" si="4"/>
        <v>1163353.1099999999</v>
      </c>
      <c r="Q17" s="167">
        <f t="shared" si="4"/>
        <v>426223.56</v>
      </c>
      <c r="R17" s="167">
        <f t="shared" si="4"/>
        <v>1063954.5</v>
      </c>
      <c r="S17" s="167">
        <f t="shared" si="4"/>
        <v>1429194.53</v>
      </c>
      <c r="T17" s="167">
        <f t="shared" si="4"/>
        <v>3398557.75</v>
      </c>
      <c r="U17" s="167">
        <f t="shared" si="4"/>
        <v>927085.47</v>
      </c>
      <c r="V17" s="167">
        <f t="shared" si="4"/>
        <v>2249440.56</v>
      </c>
      <c r="W17" s="167">
        <f t="shared" si="4"/>
        <v>12586062.1</v>
      </c>
      <c r="X17" s="167">
        <f t="shared" si="4"/>
        <v>1940302.3</v>
      </c>
      <c r="Y17" s="167">
        <f t="shared" si="4"/>
        <v>4846822.5999999996</v>
      </c>
      <c r="Z17" s="167">
        <f t="shared" si="4"/>
        <v>9895727.1199999992</v>
      </c>
      <c r="AA17" s="167">
        <f t="shared" si="4"/>
        <v>57532.75</v>
      </c>
      <c r="AB17" s="167">
        <f t="shared" si="4"/>
        <v>922509.84000000008</v>
      </c>
      <c r="AC17" s="167">
        <f t="shared" si="4"/>
        <v>2624273.6999999997</v>
      </c>
      <c r="AD17" s="167">
        <f t="shared" si="4"/>
        <v>1886970.12</v>
      </c>
      <c r="AE17" s="167">
        <f t="shared" si="4"/>
        <v>2579904.71</v>
      </c>
      <c r="AF17" s="167">
        <f t="shared" si="4"/>
        <v>2829244.9699999997</v>
      </c>
      <c r="AG17" s="167">
        <f t="shared" si="4"/>
        <v>9934722.9600000009</v>
      </c>
      <c r="AH17" s="167">
        <f t="shared" si="4"/>
        <v>12429495.75</v>
      </c>
      <c r="AI17" s="167">
        <f t="shared" si="4"/>
        <v>808095</v>
      </c>
      <c r="AJ17" s="167">
        <f t="shared" si="4"/>
        <v>1009396.35</v>
      </c>
      <c r="AK17" s="167">
        <f t="shared" si="4"/>
        <v>8631919.5899999999</v>
      </c>
      <c r="AL17" s="167">
        <f t="shared" si="4"/>
        <v>5539646</v>
      </c>
      <c r="AM17" s="167">
        <f t="shared" si="4"/>
        <v>5168495.04</v>
      </c>
      <c r="AN17" s="167">
        <f t="shared" si="4"/>
        <v>598789.87</v>
      </c>
      <c r="AO17" s="167">
        <f t="shared" si="4"/>
        <v>10106677.479999999</v>
      </c>
      <c r="AP17" s="167">
        <f t="shared" si="4"/>
        <v>3591739.3000000003</v>
      </c>
      <c r="AQ17" s="167">
        <f t="shared" si="4"/>
        <v>2296347</v>
      </c>
      <c r="AR17" s="167">
        <f t="shared" si="4"/>
        <v>3012290.63</v>
      </c>
      <c r="AS17" s="167">
        <f t="shared" si="4"/>
        <v>3138918.75</v>
      </c>
      <c r="AT17" s="167">
        <f t="shared" si="4"/>
        <v>2482174.27</v>
      </c>
      <c r="AU17" s="167">
        <f t="shared" si="4"/>
        <v>1494437.21</v>
      </c>
      <c r="AV17" s="167">
        <f t="shared" si="4"/>
        <v>6671285.6099999994</v>
      </c>
      <c r="AW17" s="167">
        <f t="shared" si="4"/>
        <v>3293308.63</v>
      </c>
      <c r="AX17" s="167">
        <f t="shared" si="4"/>
        <v>756944.85</v>
      </c>
      <c r="AY17" s="167">
        <f t="shared" si="4"/>
        <v>1311205.6100000001</v>
      </c>
      <c r="AZ17" s="167">
        <f t="shared" si="4"/>
        <v>4675084.75</v>
      </c>
      <c r="BA17" s="167">
        <f t="shared" si="4"/>
        <v>1615489.17</v>
      </c>
      <c r="BB17" s="167">
        <f t="shared" si="4"/>
        <v>5949496</v>
      </c>
      <c r="BC17" s="167">
        <f t="shared" si="4"/>
        <v>384450</v>
      </c>
      <c r="BD17" s="167">
        <f t="shared" si="4"/>
        <v>42138657.090000004</v>
      </c>
      <c r="BE17" s="167">
        <f t="shared" si="4"/>
        <v>2585754.09</v>
      </c>
      <c r="BF17" s="13">
        <f t="shared" si="0"/>
        <v>210745429.25</v>
      </c>
      <c r="BG17" s="13">
        <f t="shared" si="1"/>
        <v>51764998.170000002</v>
      </c>
      <c r="BH17" s="13">
        <f t="shared" si="2"/>
        <v>115443110.94000001</v>
      </c>
    </row>
    <row r="18" spans="1:60" ht="15" thickBot="1" x14ac:dyDescent="0.25">
      <c r="B18" s="169"/>
      <c r="D18" s="13"/>
      <c r="BF18" s="13"/>
      <c r="BG18" s="13"/>
      <c r="BH18" s="13"/>
    </row>
    <row r="19" spans="1:60" ht="15.75" thickBot="1" x14ac:dyDescent="0.3">
      <c r="A19" s="7" t="s">
        <v>519</v>
      </c>
      <c r="B19" s="169"/>
      <c r="D19" s="168">
        <f>IF(D17&lt;&gt;0,D9/D17,"")*100</f>
        <v>0.91031203330682231</v>
      </c>
      <c r="E19" s="177">
        <f>IF(E17&lt;&gt;0,E9/E17,"")*100</f>
        <v>1.2908947330016323</v>
      </c>
      <c r="F19" s="167">
        <f t="shared" ref="F19:BH19" si="5">IF(F17&lt;&gt;0,F9/F17,"")*100</f>
        <v>2.3957581975040663</v>
      </c>
      <c r="G19" s="167">
        <f t="shared" si="5"/>
        <v>2.4147212680793815</v>
      </c>
      <c r="H19" s="167">
        <f t="shared" si="5"/>
        <v>2.6231659800971761</v>
      </c>
      <c r="I19" s="167">
        <f t="shared" si="5"/>
        <v>1.7190633935252566</v>
      </c>
      <c r="J19" s="167">
        <f t="shared" si="5"/>
        <v>0.76443847958288491</v>
      </c>
      <c r="K19" s="167">
        <f t="shared" si="5"/>
        <v>0.7893764757558861</v>
      </c>
      <c r="L19" s="167">
        <f t="shared" si="5"/>
        <v>0.88530526966770251</v>
      </c>
      <c r="M19" s="167">
        <f t="shared" si="5"/>
        <v>0.10082281196327897</v>
      </c>
      <c r="N19" s="167">
        <f t="shared" si="5"/>
        <v>1.0311858785160979</v>
      </c>
      <c r="O19" s="167">
        <f t="shared" si="5"/>
        <v>0.31966240251223749</v>
      </c>
      <c r="P19" s="167">
        <f t="shared" si="5"/>
        <v>2.170171703069586</v>
      </c>
      <c r="Q19" s="167">
        <f t="shared" si="5"/>
        <v>1.1791159550166586</v>
      </c>
      <c r="R19" s="167">
        <f t="shared" si="5"/>
        <v>3.6427835964789845</v>
      </c>
      <c r="S19" s="167">
        <f t="shared" si="5"/>
        <v>4.5308051941676544</v>
      </c>
      <c r="T19" s="167">
        <f t="shared" si="5"/>
        <v>0.7248233460208231</v>
      </c>
      <c r="U19" s="167">
        <f t="shared" si="5"/>
        <v>-2.1163097292421044E-2</v>
      </c>
      <c r="V19" s="167">
        <f t="shared" si="5"/>
        <v>0.94495450904468414</v>
      </c>
      <c r="W19" s="167">
        <f t="shared" si="5"/>
        <v>0.54958071436815803</v>
      </c>
      <c r="X19" s="167">
        <f t="shared" si="5"/>
        <v>0.16399454868450139</v>
      </c>
      <c r="Y19" s="167">
        <f t="shared" si="5"/>
        <v>1.7794608368789897</v>
      </c>
      <c r="Z19" s="167">
        <f t="shared" si="5"/>
        <v>-0.23254188116699001</v>
      </c>
      <c r="AA19" s="167">
        <f t="shared" si="5"/>
        <v>4.7993012675389242</v>
      </c>
      <c r="AB19" s="167">
        <f t="shared" si="5"/>
        <v>9.7359395104121602E-2</v>
      </c>
      <c r="AC19" s="167">
        <f t="shared" si="5"/>
        <v>2.1434124801845176</v>
      </c>
      <c r="AD19" s="167">
        <f t="shared" si="5"/>
        <v>2.485231191684159</v>
      </c>
      <c r="AE19" s="167">
        <f t="shared" si="5"/>
        <v>0.78396926528344524</v>
      </c>
      <c r="AF19" s="167">
        <f t="shared" si="5"/>
        <v>0.5218519483662809</v>
      </c>
      <c r="AG19" s="167">
        <f t="shared" si="5"/>
        <v>0.15040278486034397</v>
      </c>
      <c r="AH19" s="167">
        <f t="shared" si="5"/>
        <v>0.65591413875337634</v>
      </c>
      <c r="AI19" s="167">
        <f t="shared" si="5"/>
        <v>0</v>
      </c>
      <c r="AJ19" s="167">
        <f t="shared" si="5"/>
        <v>0.22696931685952693</v>
      </c>
      <c r="AK19" s="167">
        <f t="shared" si="5"/>
        <v>1.2161204573964297</v>
      </c>
      <c r="AL19" s="167">
        <f t="shared" si="5"/>
        <v>0.73233921445521977</v>
      </c>
      <c r="AM19" s="167">
        <f t="shared" si="5"/>
        <v>1.6572495346730565</v>
      </c>
      <c r="AN19" s="167">
        <f t="shared" si="5"/>
        <v>2.135498718440243</v>
      </c>
      <c r="AO19" s="167">
        <f t="shared" si="5"/>
        <v>0.38550404004778838</v>
      </c>
      <c r="AP19" s="167">
        <f t="shared" si="5"/>
        <v>0.85546659803510794</v>
      </c>
      <c r="AQ19" s="167">
        <f t="shared" si="5"/>
        <v>1.712110582590523</v>
      </c>
      <c r="AR19" s="167">
        <f t="shared" si="5"/>
        <v>1.3518655734755585</v>
      </c>
      <c r="AS19" s="167">
        <f t="shared" si="5"/>
        <v>-0.78431147668285472</v>
      </c>
      <c r="AT19" s="167">
        <f t="shared" si="5"/>
        <v>2.8818919309803337</v>
      </c>
      <c r="AU19" s="167">
        <f t="shared" si="5"/>
        <v>0.84733302378090547</v>
      </c>
      <c r="AV19" s="167">
        <f t="shared" si="5"/>
        <v>1.726060413713872</v>
      </c>
      <c r="AW19" s="167">
        <f t="shared" si="5"/>
        <v>1.3645842236170864</v>
      </c>
      <c r="AX19" s="167">
        <f t="shared" si="5"/>
        <v>0.41841489508779939</v>
      </c>
      <c r="AY19" s="167">
        <f t="shared" si="5"/>
        <v>0.33609679263040981</v>
      </c>
      <c r="AZ19" s="167">
        <f t="shared" si="5"/>
        <v>4.6681898119600937</v>
      </c>
      <c r="BA19" s="167">
        <f t="shared" si="5"/>
        <v>0.44423200930526824</v>
      </c>
      <c r="BB19" s="167">
        <f t="shared" si="5"/>
        <v>0.41263999505168164</v>
      </c>
      <c r="BC19" s="167">
        <f t="shared" si="5"/>
        <v>-1.4027129665756275</v>
      </c>
      <c r="BD19" s="167">
        <f t="shared" si="5"/>
        <v>0.94454284375961817</v>
      </c>
      <c r="BE19" s="167">
        <f t="shared" si="5"/>
        <v>-0.46170322406799336</v>
      </c>
      <c r="BF19" s="167">
        <f t="shared" si="5"/>
        <v>0.89300951232848635</v>
      </c>
      <c r="BG19" s="167">
        <f t="shared" si="5"/>
        <v>0.5930098924989492</v>
      </c>
      <c r="BH19" s="167">
        <f t="shared" si="5"/>
        <v>1.0841775137630401</v>
      </c>
    </row>
    <row r="20" spans="1:60" x14ac:dyDescent="0.2">
      <c r="A20" s="173" t="s">
        <v>520</v>
      </c>
      <c r="B20" s="169"/>
      <c r="D20" s="13"/>
      <c r="BF20" s="13"/>
      <c r="BG20" s="13"/>
      <c r="BH20" s="13"/>
    </row>
    <row r="21" spans="1:60" x14ac:dyDescent="0.2">
      <c r="A21" s="173"/>
      <c r="B21" s="169"/>
      <c r="D21" s="13"/>
      <c r="BF21" s="13"/>
      <c r="BG21" s="13"/>
      <c r="BH21" s="13"/>
    </row>
    <row r="22" spans="1:60" x14ac:dyDescent="0.2">
      <c r="B22" s="169"/>
      <c r="D22" s="13"/>
      <c r="BF22" s="13"/>
      <c r="BG22" s="13"/>
      <c r="BH22" s="13"/>
    </row>
    <row r="23" spans="1:60" ht="15" x14ac:dyDescent="0.25">
      <c r="A23" s="7" t="s">
        <v>521</v>
      </c>
      <c r="B23" s="169"/>
      <c r="D23" s="13"/>
      <c r="BF23" s="13"/>
      <c r="BG23" s="13"/>
      <c r="BH23" s="13"/>
    </row>
    <row r="24" spans="1:60" x14ac:dyDescent="0.2">
      <c r="B24" s="169"/>
      <c r="D24" s="13"/>
      <c r="BF24" s="13"/>
      <c r="BG24" s="13"/>
      <c r="BH24" s="13"/>
    </row>
    <row r="25" spans="1:60" x14ac:dyDescent="0.2">
      <c r="A25" s="159" t="s">
        <v>252</v>
      </c>
      <c r="B25" s="160" t="s">
        <v>224</v>
      </c>
      <c r="C25" s="174">
        <v>200</v>
      </c>
      <c r="D25" s="161">
        <f>'Base de données indicateurs1'!BF10</f>
        <v>39606493.800000004</v>
      </c>
      <c r="E25" s="13">
        <f>'Base de données indicateurs1'!E10</f>
        <v>87051.65</v>
      </c>
      <c r="F25" s="13">
        <f>'Base de données indicateurs1'!F10</f>
        <v>127449.95</v>
      </c>
      <c r="G25" s="13">
        <f>'Base de données indicateurs1'!G10</f>
        <v>35980.85</v>
      </c>
      <c r="H25" s="13">
        <f>'Base de données indicateurs1'!H10</f>
        <v>303392.63</v>
      </c>
      <c r="I25" s="13">
        <f>'Base de données indicateurs1'!I10</f>
        <v>1690155</v>
      </c>
      <c r="J25" s="13">
        <f>'Base de données indicateurs1'!J10</f>
        <v>1780885.62</v>
      </c>
      <c r="K25" s="13">
        <f>'Base de données indicateurs1'!K10</f>
        <v>289947.59000000003</v>
      </c>
      <c r="L25" s="13">
        <f>'Base de données indicateurs1'!L10</f>
        <v>10184153.890000001</v>
      </c>
      <c r="M25" s="13">
        <f>'Base de données indicateurs1'!M10</f>
        <v>582457.34</v>
      </c>
      <c r="N25" s="13">
        <f>'Base de données indicateurs1'!N10</f>
        <v>210167.43</v>
      </c>
      <c r="O25" s="13">
        <f>'Base de données indicateurs1'!O10</f>
        <v>2440635.39</v>
      </c>
      <c r="P25" s="13">
        <f>'Base de données indicateurs1'!P10</f>
        <v>123486.63</v>
      </c>
      <c r="Q25" s="13">
        <f>'Base de données indicateurs1'!Q10</f>
        <v>9398.2999999999993</v>
      </c>
      <c r="R25" s="13">
        <f>'Base de données indicateurs1'!R10</f>
        <v>297493.89</v>
      </c>
      <c r="S25" s="13">
        <f>'Base de données indicateurs1'!S10</f>
        <v>104966.15</v>
      </c>
      <c r="T25" s="13">
        <f>'Base de données indicateurs1'!T10</f>
        <v>509439.42</v>
      </c>
      <c r="U25" s="13">
        <f>'Base de données indicateurs1'!U10</f>
        <v>294338.49</v>
      </c>
      <c r="V25" s="13">
        <f>'Base de données indicateurs1'!V10</f>
        <v>136932.75</v>
      </c>
      <c r="W25" s="13">
        <f>'Base de données indicateurs1'!W10</f>
        <v>1599706.82</v>
      </c>
      <c r="X25" s="13">
        <f>'Base de données indicateurs1'!X10</f>
        <v>0</v>
      </c>
      <c r="Y25" s="13">
        <f>'Base de données indicateurs1'!Y10</f>
        <v>348103.17</v>
      </c>
      <c r="Z25" s="13">
        <f>'Base de données indicateurs1'!Z10</f>
        <v>4277683.17</v>
      </c>
      <c r="AA25" s="13">
        <f>'Base de données indicateurs1'!AA10</f>
        <v>200525.4</v>
      </c>
      <c r="AB25" s="13">
        <f>'Base de données indicateurs1'!AB10</f>
        <v>129927.81</v>
      </c>
      <c r="AC25" s="13">
        <f>'Base de données indicateurs1'!AC10</f>
        <v>347859.56</v>
      </c>
      <c r="AD25" s="13">
        <f>'Base de données indicateurs1'!AD10</f>
        <v>511995.85</v>
      </c>
      <c r="AE25" s="13">
        <f>'Base de données indicateurs1'!AE10</f>
        <v>197555.05</v>
      </c>
      <c r="AF25" s="13">
        <f>'Base de données indicateurs1'!AF10</f>
        <v>129222.32</v>
      </c>
      <c r="AG25" s="13">
        <f>'Base de données indicateurs1'!AG10</f>
        <v>1155037.94</v>
      </c>
      <c r="AH25" s="13">
        <f>'Base de données indicateurs1'!AH10</f>
        <v>555580.65</v>
      </c>
      <c r="AI25" s="13">
        <f>'Base de données indicateurs1'!AI10</f>
        <v>616046</v>
      </c>
      <c r="AJ25" s="13">
        <f>'Base de données indicateurs1'!AJ10</f>
        <v>39753.160000000003</v>
      </c>
      <c r="AK25" s="13">
        <f>'Base de données indicateurs1'!AK10</f>
        <v>553527.1</v>
      </c>
      <c r="AL25" s="13">
        <f>'Base de données indicateurs1'!AL10</f>
        <v>130197.35</v>
      </c>
      <c r="AM25" s="13">
        <f>'Base de données indicateurs1'!AM10</f>
        <v>463530.21</v>
      </c>
      <c r="AN25" s="13">
        <f>'Base de données indicateurs1'!AN10</f>
        <v>30031.52</v>
      </c>
      <c r="AO25" s="13">
        <f>'Base de données indicateurs1'!AO10</f>
        <v>905669.76</v>
      </c>
      <c r="AP25" s="13">
        <f>'Base de données indicateurs1'!AP10</f>
        <v>504602.57</v>
      </c>
      <c r="AQ25" s="13">
        <f>'Base de données indicateurs1'!AQ10</f>
        <v>178669</v>
      </c>
      <c r="AR25" s="13">
        <f>'Base de données indicateurs1'!AR10</f>
        <v>472209.85</v>
      </c>
      <c r="AS25" s="13">
        <f>'Base de données indicateurs1'!AS10</f>
        <v>578207.18000000005</v>
      </c>
      <c r="AT25" s="13">
        <f>'Base de données indicateurs1'!AT10</f>
        <v>218104.89</v>
      </c>
      <c r="AU25" s="13">
        <f>'Base de données indicateurs1'!AU10</f>
        <v>85812.35</v>
      </c>
      <c r="AV25" s="13">
        <f>'Base de données indicateurs1'!AV10</f>
        <v>337466.31</v>
      </c>
      <c r="AW25" s="13">
        <f>'Base de données indicateurs1'!AW10</f>
        <v>226976.44</v>
      </c>
      <c r="AX25" s="13">
        <f>'Base de données indicateurs1'!AX10</f>
        <v>50732</v>
      </c>
      <c r="AY25" s="13">
        <f>'Base de données indicateurs1'!AY10</f>
        <v>189382.59</v>
      </c>
      <c r="AZ25" s="13">
        <f>'Base de données indicateurs1'!AZ10</f>
        <v>1145974.3</v>
      </c>
      <c r="BA25" s="13">
        <f>'Base de données indicateurs1'!BA10</f>
        <v>87775.61</v>
      </c>
      <c r="BB25" s="13">
        <f>'Base de données indicateurs1'!BB10</f>
        <v>423583</v>
      </c>
      <c r="BC25" s="13">
        <f>'Base de données indicateurs1'!BC10</f>
        <v>27000</v>
      </c>
      <c r="BD25" s="13">
        <f>'Base de données indicateurs1'!BD10</f>
        <v>3439064.83</v>
      </c>
      <c r="BE25" s="13">
        <f>'Base de données indicateurs1'!BE10</f>
        <v>240647.07</v>
      </c>
      <c r="BF25" s="13">
        <f t="shared" si="0"/>
        <v>20808039.789999999</v>
      </c>
      <c r="BG25" s="13">
        <f t="shared" si="1"/>
        <v>8509290.0800000001</v>
      </c>
      <c r="BH25" s="13">
        <f t="shared" si="2"/>
        <v>10289163.93</v>
      </c>
    </row>
    <row r="26" spans="1:60" x14ac:dyDescent="0.2">
      <c r="A26" s="162" t="s">
        <v>253</v>
      </c>
      <c r="B26" s="163" t="s">
        <v>224</v>
      </c>
      <c r="C26" s="162">
        <v>201</v>
      </c>
      <c r="D26" s="164">
        <f>'Base de données indicateurs1'!BF11</f>
        <v>102331901.60000002</v>
      </c>
      <c r="E26" s="13">
        <f>'Base de données indicateurs1'!E11</f>
        <v>6600941.8499999996</v>
      </c>
      <c r="F26" s="13">
        <f>'Base de données indicateurs1'!F11</f>
        <v>308700</v>
      </c>
      <c r="G26" s="13">
        <f>'Base de données indicateurs1'!G11</f>
        <v>128800</v>
      </c>
      <c r="H26" s="13">
        <f>'Base de données indicateurs1'!H11</f>
        <v>240557.09</v>
      </c>
      <c r="I26" s="13">
        <f>'Base de données indicateurs1'!I11</f>
        <v>6371926</v>
      </c>
      <c r="J26" s="13">
        <f>'Base de données indicateurs1'!J11</f>
        <v>9141550</v>
      </c>
      <c r="K26" s="13">
        <f>'Base de données indicateurs1'!K11</f>
        <v>987000</v>
      </c>
      <c r="L26" s="13">
        <f>'Base de données indicateurs1'!L11</f>
        <v>27070490</v>
      </c>
      <c r="M26" s="13">
        <f>'Base de données indicateurs1'!M11</f>
        <v>2959119.9</v>
      </c>
      <c r="N26" s="13">
        <f>'Base de données indicateurs1'!N11</f>
        <v>0</v>
      </c>
      <c r="O26" s="13">
        <f>'Base de données indicateurs1'!O11</f>
        <v>9445973.3000000007</v>
      </c>
      <c r="P26" s="13">
        <f>'Base de données indicateurs1'!P11</f>
        <v>536952.03</v>
      </c>
      <c r="Q26" s="13">
        <f>'Base de données indicateurs1'!Q11</f>
        <v>109200.66</v>
      </c>
      <c r="R26" s="13">
        <f>'Base de données indicateurs1'!R11</f>
        <v>0</v>
      </c>
      <c r="S26" s="13">
        <f>'Base de données indicateurs1'!S11</f>
        <v>3044807.75</v>
      </c>
      <c r="T26" s="13">
        <f>'Base de données indicateurs1'!T11</f>
        <v>211600</v>
      </c>
      <c r="U26" s="13">
        <f>'Base de données indicateurs1'!U11</f>
        <v>311481.01</v>
      </c>
      <c r="V26" s="13">
        <f>'Base de données indicateurs1'!V11</f>
        <v>235996.36</v>
      </c>
      <c r="W26" s="13">
        <f>'Base de données indicateurs1'!W11</f>
        <v>2120542.9300000002</v>
      </c>
      <c r="X26" s="13">
        <f>'Base de données indicateurs1'!X11</f>
        <v>140459</v>
      </c>
      <c r="Y26" s="13">
        <f>'Base de données indicateurs1'!Y11</f>
        <v>826856.21</v>
      </c>
      <c r="Z26" s="13">
        <f>'Base de données indicateurs1'!Z11</f>
        <v>0</v>
      </c>
      <c r="AA26" s="13">
        <f>'Base de données indicateurs1'!AA11</f>
        <v>0</v>
      </c>
      <c r="AB26" s="13">
        <f>'Base de données indicateurs1'!AB11</f>
        <v>412500</v>
      </c>
      <c r="AC26" s="13">
        <f>'Base de données indicateurs1'!AC11</f>
        <v>719898.79</v>
      </c>
      <c r="AD26" s="13">
        <f>'Base de données indicateurs1'!AD11</f>
        <v>0</v>
      </c>
      <c r="AE26" s="13">
        <f>'Base de données indicateurs1'!AE11</f>
        <v>0</v>
      </c>
      <c r="AF26" s="13">
        <f>'Base de données indicateurs1'!AF11</f>
        <v>600522.35</v>
      </c>
      <c r="AG26" s="13">
        <f>'Base de données indicateurs1'!AG11</f>
        <v>396943.43</v>
      </c>
      <c r="AH26" s="13">
        <f>'Base de données indicateurs1'!AH11</f>
        <v>3410820</v>
      </c>
      <c r="AI26" s="13">
        <f>'Base de données indicateurs1'!AI11</f>
        <v>488902</v>
      </c>
      <c r="AJ26" s="13">
        <f>'Base de données indicateurs1'!AJ11</f>
        <v>148300</v>
      </c>
      <c r="AK26" s="13">
        <f>'Base de données indicateurs1'!AK11</f>
        <v>514000</v>
      </c>
      <c r="AL26" s="13">
        <f>'Base de données indicateurs1'!AL11</f>
        <v>515065.2</v>
      </c>
      <c r="AM26" s="13">
        <f>'Base de données indicateurs1'!AM11</f>
        <v>562615.99</v>
      </c>
      <c r="AN26" s="13">
        <f>'Base de données indicateurs1'!AN11</f>
        <v>0</v>
      </c>
      <c r="AO26" s="13">
        <f>'Base de données indicateurs1'!AO11</f>
        <v>0</v>
      </c>
      <c r="AP26" s="13">
        <f>'Base de données indicateurs1'!AP11</f>
        <v>103650</v>
      </c>
      <c r="AQ26" s="13">
        <f>'Base de données indicateurs1'!AQ11</f>
        <v>3015857</v>
      </c>
      <c r="AR26" s="13">
        <f>'Base de données indicateurs1'!AR11</f>
        <v>1827000</v>
      </c>
      <c r="AS26" s="13">
        <f>'Base de données indicateurs1'!AS11</f>
        <v>249777.17</v>
      </c>
      <c r="AT26" s="13">
        <f>'Base de données indicateurs1'!AT11</f>
        <v>273245</v>
      </c>
      <c r="AU26" s="13">
        <f>'Base de données indicateurs1'!AU11</f>
        <v>509300</v>
      </c>
      <c r="AV26" s="13">
        <f>'Base de données indicateurs1'!AV11</f>
        <v>660202.06000000006</v>
      </c>
      <c r="AW26" s="13">
        <f>'Base de données indicateurs1'!AW11</f>
        <v>233507.56</v>
      </c>
      <c r="AX26" s="13">
        <f>'Base de données indicateurs1'!AX11</f>
        <v>42021</v>
      </c>
      <c r="AY26" s="13">
        <f>'Base de données indicateurs1'!AY11</f>
        <v>0</v>
      </c>
      <c r="AZ26" s="13">
        <f>'Base de données indicateurs1'!AZ11</f>
        <v>1338920.1100000001</v>
      </c>
      <c r="BA26" s="13">
        <f>'Base de données indicateurs1'!BA11</f>
        <v>1121545.45</v>
      </c>
      <c r="BB26" s="13">
        <f>'Base de données indicateurs1'!BB11</f>
        <v>5673273</v>
      </c>
      <c r="BC26" s="13">
        <f>'Base de données indicateurs1'!BC11</f>
        <v>0</v>
      </c>
      <c r="BD26" s="13">
        <f>'Base de données indicateurs1'!BD11</f>
        <v>8400961.4499999993</v>
      </c>
      <c r="BE26" s="13">
        <f>'Base de données indicateurs1'!BE11</f>
        <v>320119.95</v>
      </c>
      <c r="BF26" s="13">
        <f t="shared" si="0"/>
        <v>69825638.88000001</v>
      </c>
      <c r="BG26" s="13">
        <f t="shared" si="1"/>
        <v>7145201.7800000003</v>
      </c>
      <c r="BH26" s="13">
        <f t="shared" si="2"/>
        <v>25361060.939999998</v>
      </c>
    </row>
    <row r="27" spans="1:60" x14ac:dyDescent="0.2">
      <c r="A27" s="162" t="s">
        <v>268</v>
      </c>
      <c r="B27" s="163" t="s">
        <v>225</v>
      </c>
      <c r="C27" s="162">
        <v>2016</v>
      </c>
      <c r="D27" s="164">
        <f>'Base de données indicateurs1'!BF12</f>
        <v>0</v>
      </c>
      <c r="E27" s="13">
        <f>'Base de données indicateurs1'!E12</f>
        <v>0</v>
      </c>
      <c r="F27" s="13">
        <f>'Base de données indicateurs1'!F12</f>
        <v>0</v>
      </c>
      <c r="G27" s="13">
        <f>'Base de données indicateurs1'!G12</f>
        <v>0</v>
      </c>
      <c r="H27" s="13">
        <f>'Base de données indicateurs1'!H12</f>
        <v>0</v>
      </c>
      <c r="I27" s="13">
        <f>'Base de données indicateurs1'!I12</f>
        <v>0</v>
      </c>
      <c r="J27" s="13">
        <f>'Base de données indicateurs1'!J12</f>
        <v>0</v>
      </c>
      <c r="K27" s="13">
        <f>'Base de données indicateurs1'!K12</f>
        <v>0</v>
      </c>
      <c r="L27" s="13">
        <f>'Base de données indicateurs1'!L12</f>
        <v>0</v>
      </c>
      <c r="M27" s="13">
        <f>'Base de données indicateurs1'!M12</f>
        <v>0</v>
      </c>
      <c r="N27" s="13">
        <f>'Base de données indicateurs1'!N12</f>
        <v>0</v>
      </c>
      <c r="O27" s="13">
        <f>'Base de données indicateurs1'!O12</f>
        <v>0</v>
      </c>
      <c r="P27" s="13">
        <f>'Base de données indicateurs1'!P12</f>
        <v>0</v>
      </c>
      <c r="Q27" s="13">
        <f>'Base de données indicateurs1'!Q12</f>
        <v>0</v>
      </c>
      <c r="R27" s="13">
        <f>'Base de données indicateurs1'!R12</f>
        <v>0</v>
      </c>
      <c r="S27" s="13">
        <f>'Base de données indicateurs1'!S12</f>
        <v>0</v>
      </c>
      <c r="T27" s="13">
        <f>'Base de données indicateurs1'!T12</f>
        <v>0</v>
      </c>
      <c r="U27" s="13">
        <f>'Base de données indicateurs1'!U12</f>
        <v>0</v>
      </c>
      <c r="V27" s="13">
        <f>'Base de données indicateurs1'!V12</f>
        <v>0</v>
      </c>
      <c r="W27" s="13">
        <f>'Base de données indicateurs1'!W12</f>
        <v>0</v>
      </c>
      <c r="X27" s="13">
        <f>'Base de données indicateurs1'!X12</f>
        <v>0</v>
      </c>
      <c r="Y27" s="13">
        <f>'Base de données indicateurs1'!Y12</f>
        <v>0</v>
      </c>
      <c r="Z27" s="13">
        <f>'Base de données indicateurs1'!Z12</f>
        <v>0</v>
      </c>
      <c r="AA27" s="13">
        <f>'Base de données indicateurs1'!AA12</f>
        <v>0</v>
      </c>
      <c r="AB27" s="13">
        <f>'Base de données indicateurs1'!AB12</f>
        <v>0</v>
      </c>
      <c r="AC27" s="13">
        <f>'Base de données indicateurs1'!AC12</f>
        <v>0</v>
      </c>
      <c r="AD27" s="13">
        <f>'Base de données indicateurs1'!AD12</f>
        <v>0</v>
      </c>
      <c r="AE27" s="13">
        <f>'Base de données indicateurs1'!AE12</f>
        <v>0</v>
      </c>
      <c r="AF27" s="13">
        <f>'Base de données indicateurs1'!AF12</f>
        <v>0</v>
      </c>
      <c r="AG27" s="13">
        <f>'Base de données indicateurs1'!AG12</f>
        <v>0</v>
      </c>
      <c r="AH27" s="13">
        <f>'Base de données indicateurs1'!AH12</f>
        <v>0</v>
      </c>
      <c r="AI27" s="13">
        <f>'Base de données indicateurs1'!AI12</f>
        <v>0</v>
      </c>
      <c r="AJ27" s="13">
        <f>'Base de données indicateurs1'!AJ12</f>
        <v>0</v>
      </c>
      <c r="AK27" s="13">
        <f>'Base de données indicateurs1'!AK12</f>
        <v>0</v>
      </c>
      <c r="AL27" s="13">
        <f>'Base de données indicateurs1'!AL12</f>
        <v>0</v>
      </c>
      <c r="AM27" s="13">
        <f>'Base de données indicateurs1'!AM12</f>
        <v>0</v>
      </c>
      <c r="AN27" s="13">
        <f>'Base de données indicateurs1'!AN12</f>
        <v>0</v>
      </c>
      <c r="AO27" s="13">
        <f>'Base de données indicateurs1'!AO12</f>
        <v>0</v>
      </c>
      <c r="AP27" s="13">
        <f>'Base de données indicateurs1'!AP12</f>
        <v>0</v>
      </c>
      <c r="AQ27" s="13">
        <f>'Base de données indicateurs1'!AQ12</f>
        <v>0</v>
      </c>
      <c r="AR27" s="13">
        <f>'Base de données indicateurs1'!AR12</f>
        <v>0</v>
      </c>
      <c r="AS27" s="13">
        <f>'Base de données indicateurs1'!AS12</f>
        <v>0</v>
      </c>
      <c r="AT27" s="13">
        <f>'Base de données indicateurs1'!AT12</f>
        <v>0</v>
      </c>
      <c r="AU27" s="13">
        <f>'Base de données indicateurs1'!AU12</f>
        <v>0</v>
      </c>
      <c r="AV27" s="13">
        <f>'Base de données indicateurs1'!AV12</f>
        <v>0</v>
      </c>
      <c r="AW27" s="13">
        <f>'Base de données indicateurs1'!AW12</f>
        <v>0</v>
      </c>
      <c r="AX27" s="13">
        <f>'Base de données indicateurs1'!AX12</f>
        <v>0</v>
      </c>
      <c r="AY27" s="13">
        <f>'Base de données indicateurs1'!AY12</f>
        <v>0</v>
      </c>
      <c r="AZ27" s="13">
        <f>'Base de données indicateurs1'!AZ12</f>
        <v>0</v>
      </c>
      <c r="BA27" s="13">
        <f>'Base de données indicateurs1'!BA12</f>
        <v>0</v>
      </c>
      <c r="BB27" s="13">
        <f>'Base de données indicateurs1'!BB12</f>
        <v>0</v>
      </c>
      <c r="BC27" s="13">
        <f>'Base de données indicateurs1'!BC12</f>
        <v>0</v>
      </c>
      <c r="BD27" s="13">
        <f>'Base de données indicateurs1'!BD12</f>
        <v>0</v>
      </c>
      <c r="BE27" s="13">
        <f>'Base de données indicateurs1'!BE12</f>
        <v>0</v>
      </c>
      <c r="BF27" s="13">
        <f t="shared" si="0"/>
        <v>0</v>
      </c>
      <c r="BG27" s="13">
        <f t="shared" si="1"/>
        <v>0</v>
      </c>
      <c r="BH27" s="13">
        <f t="shared" si="2"/>
        <v>0</v>
      </c>
    </row>
    <row r="28" spans="1:60" x14ac:dyDescent="0.2">
      <c r="A28" s="162" t="s">
        <v>256</v>
      </c>
      <c r="B28" s="163" t="s">
        <v>224</v>
      </c>
      <c r="C28" s="162">
        <v>206</v>
      </c>
      <c r="D28" s="164">
        <f>'Base de données indicateurs1'!BF13</f>
        <v>471291696.03999996</v>
      </c>
      <c r="E28" s="13">
        <f>'Base de données indicateurs1'!E13</f>
        <v>3543700</v>
      </c>
      <c r="F28" s="13">
        <f>'Base de données indicateurs1'!F13</f>
        <v>1960499.6</v>
      </c>
      <c r="G28" s="13">
        <f>'Base de données indicateurs1'!G13</f>
        <v>5049000</v>
      </c>
      <c r="H28" s="13">
        <f>'Base de données indicateurs1'!H13</f>
        <v>3627996.85</v>
      </c>
      <c r="I28" s="13">
        <f>'Base de données indicateurs1'!I13</f>
        <v>17964793</v>
      </c>
      <c r="J28" s="13">
        <f>'Base de données indicateurs1'!J13</f>
        <v>12267000</v>
      </c>
      <c r="K28" s="13">
        <f>'Base de données indicateurs1'!K13</f>
        <v>9063964.5999999996</v>
      </c>
      <c r="L28" s="13">
        <f>'Base de données indicateurs1'!L13</f>
        <v>129202493.75</v>
      </c>
      <c r="M28" s="13">
        <f>'Base de données indicateurs1'!M13</f>
        <v>4142829.75</v>
      </c>
      <c r="N28" s="13">
        <f>'Base de données indicateurs1'!N13</f>
        <v>752392.9</v>
      </c>
      <c r="O28" s="13">
        <f>'Base de données indicateurs1'!O13</f>
        <v>33729190</v>
      </c>
      <c r="P28" s="13">
        <f>'Base de données indicateurs1'!P13</f>
        <v>2150910.35</v>
      </c>
      <c r="Q28" s="13">
        <f>'Base de données indicateurs1'!Q13</f>
        <v>354400</v>
      </c>
      <c r="R28" s="13">
        <f>'Base de données indicateurs1'!R13</f>
        <v>2880449.41</v>
      </c>
      <c r="S28" s="13">
        <f>'Base de données indicateurs1'!S13</f>
        <v>993311</v>
      </c>
      <c r="T28" s="13">
        <f>'Base de données indicateurs1'!T13</f>
        <v>4442600</v>
      </c>
      <c r="U28" s="13">
        <f>'Base de données indicateurs1'!U13</f>
        <v>632750</v>
      </c>
      <c r="V28" s="13">
        <f>'Base de données indicateurs1'!V13</f>
        <v>3131903.56</v>
      </c>
      <c r="W28" s="13">
        <f>'Base de données indicateurs1'!W13</f>
        <v>12080140</v>
      </c>
      <c r="X28" s="13">
        <f>'Base de données indicateurs1'!X13</f>
        <v>343587.2</v>
      </c>
      <c r="Y28" s="13">
        <f>'Base de données indicateurs1'!Y13</f>
        <v>8417000</v>
      </c>
      <c r="Z28" s="13">
        <f>'Base de données indicateurs1'!Z13</f>
        <v>633000</v>
      </c>
      <c r="AA28" s="13">
        <f>'Base de données indicateurs1'!AA13</f>
        <v>934047.05</v>
      </c>
      <c r="AB28" s="13">
        <f>'Base de données indicateurs1'!AB13</f>
        <v>762500</v>
      </c>
      <c r="AC28" s="13">
        <f>'Base de données indicateurs1'!AC13</f>
        <v>3541055</v>
      </c>
      <c r="AD28" s="13">
        <f>'Base de données indicateurs1'!AD13</f>
        <v>7098275</v>
      </c>
      <c r="AE28" s="13">
        <f>'Base de données indicateurs1'!AE13</f>
        <v>3495450</v>
      </c>
      <c r="AF28" s="13">
        <f>'Base de données indicateurs1'!AF13</f>
        <v>242334</v>
      </c>
      <c r="AG28" s="13">
        <f>'Base de données indicateurs1'!AG13</f>
        <v>3901400</v>
      </c>
      <c r="AH28" s="13">
        <f>'Base de données indicateurs1'!AH13</f>
        <v>12188315.15</v>
      </c>
      <c r="AI28" s="13">
        <f>'Base de données indicateurs1'!AI13</f>
        <v>504698</v>
      </c>
      <c r="AJ28" s="13">
        <f>'Base de données indicateurs1'!AJ13</f>
        <v>675310</v>
      </c>
      <c r="AK28" s="13">
        <f>'Base de données indicateurs1'!AK13</f>
        <v>16542160</v>
      </c>
      <c r="AL28" s="13">
        <f>'Base de données indicateurs1'!AL13</f>
        <v>9082156.0500000007</v>
      </c>
      <c r="AM28" s="13">
        <f>'Base de données indicateurs1'!AM13</f>
        <v>10561347.300000001</v>
      </c>
      <c r="AN28" s="13">
        <f>'Base de données indicateurs1'!AN13</f>
        <v>1373420</v>
      </c>
      <c r="AO28" s="13">
        <f>'Base de données indicateurs1'!AO13</f>
        <v>8088800</v>
      </c>
      <c r="AP28" s="13">
        <f>'Base de données indicateurs1'!AP13</f>
        <v>4674100</v>
      </c>
      <c r="AQ28" s="13">
        <f>'Base de données indicateurs1'!AQ13</f>
        <v>1519715</v>
      </c>
      <c r="AR28" s="13">
        <f>'Base de données indicateurs1'!AR13</f>
        <v>8129313.7599999998</v>
      </c>
      <c r="AS28" s="13">
        <f>'Base de données indicateurs1'!AS13</f>
        <v>4848271.1100000003</v>
      </c>
      <c r="AT28" s="13">
        <f>'Base de données indicateurs1'!AT13</f>
        <v>9079072.5</v>
      </c>
      <c r="AU28" s="13">
        <f>'Base de données indicateurs1'!AU13</f>
        <v>1297365</v>
      </c>
      <c r="AV28" s="13">
        <f>'Base de données indicateurs1'!AV13</f>
        <v>12474300</v>
      </c>
      <c r="AW28" s="13">
        <f>'Base de données indicateurs1'!AW13</f>
        <v>5566242</v>
      </c>
      <c r="AX28" s="13">
        <f>'Base de données indicateurs1'!AX13</f>
        <v>599060</v>
      </c>
      <c r="AY28" s="13">
        <f>'Base de données indicateurs1'!AY13</f>
        <v>1811940</v>
      </c>
      <c r="AZ28" s="13">
        <f>'Base de données indicateurs1'!AZ13</f>
        <v>17035687</v>
      </c>
      <c r="BA28" s="13">
        <f>'Base de données indicateurs1'!BA13</f>
        <v>1814150</v>
      </c>
      <c r="BB28" s="13">
        <f>'Base de données indicateurs1'!BB13</f>
        <v>4838210</v>
      </c>
      <c r="BC28" s="13">
        <f>'Base de données indicateurs1'!BC13</f>
        <v>115500</v>
      </c>
      <c r="BD28" s="13">
        <f>'Base de données indicateurs1'!BD13</f>
        <v>57706532</v>
      </c>
      <c r="BE28" s="13">
        <f>'Base de données indicateurs1'!BE13</f>
        <v>3427058.15</v>
      </c>
      <c r="BF28" s="13">
        <f t="shared" si="0"/>
        <v>247970324.77000001</v>
      </c>
      <c r="BG28" s="13">
        <f t="shared" si="1"/>
        <v>42736971.399999999</v>
      </c>
      <c r="BH28" s="13">
        <f t="shared" si="2"/>
        <v>180584399.87</v>
      </c>
    </row>
    <row r="29" spans="1:60" ht="15" thickBot="1" x14ac:dyDescent="0.25">
      <c r="B29" s="169"/>
      <c r="D29" s="13"/>
      <c r="BF29" s="13"/>
      <c r="BG29" s="13"/>
      <c r="BH29" s="13"/>
    </row>
    <row r="30" spans="1:60" ht="15.75" thickBot="1" x14ac:dyDescent="0.3">
      <c r="A30" s="7" t="s">
        <v>522</v>
      </c>
      <c r="B30" s="112"/>
      <c r="C30" s="7"/>
      <c r="D30" s="168">
        <f>SUM(D25:D26,D28)-D27</f>
        <v>613230091.44000006</v>
      </c>
      <c r="E30" s="177">
        <f>SUM(E25:E26,E28)-E27</f>
        <v>10231693.5</v>
      </c>
      <c r="F30" s="167">
        <f t="shared" ref="F30:BE30" si="6">SUM(F25:F26,F28)-F27</f>
        <v>2396649.5500000003</v>
      </c>
      <c r="G30" s="167">
        <f t="shared" si="6"/>
        <v>5213780.8499999996</v>
      </c>
      <c r="H30" s="167">
        <f t="shared" si="6"/>
        <v>4171946.5700000003</v>
      </c>
      <c r="I30" s="167">
        <f t="shared" si="6"/>
        <v>26026874</v>
      </c>
      <c r="J30" s="167">
        <f t="shared" si="6"/>
        <v>23189435.620000001</v>
      </c>
      <c r="K30" s="167">
        <f t="shared" si="6"/>
        <v>10340912.189999999</v>
      </c>
      <c r="L30" s="167">
        <f t="shared" si="6"/>
        <v>166457137.63999999</v>
      </c>
      <c r="M30" s="167">
        <f t="shared" si="6"/>
        <v>7684406.9900000002</v>
      </c>
      <c r="N30" s="167">
        <f t="shared" si="6"/>
        <v>962560.33000000007</v>
      </c>
      <c r="O30" s="167">
        <f t="shared" si="6"/>
        <v>45615798.689999998</v>
      </c>
      <c r="P30" s="167">
        <f t="shared" si="6"/>
        <v>2811349.0100000002</v>
      </c>
      <c r="Q30" s="167">
        <f t="shared" si="6"/>
        <v>472998.96</v>
      </c>
      <c r="R30" s="167">
        <f t="shared" si="6"/>
        <v>3177943.3000000003</v>
      </c>
      <c r="S30" s="167">
        <f t="shared" si="6"/>
        <v>4143084.9</v>
      </c>
      <c r="T30" s="167">
        <f t="shared" si="6"/>
        <v>5163639.42</v>
      </c>
      <c r="U30" s="167">
        <f t="shared" si="6"/>
        <v>1238569.5</v>
      </c>
      <c r="V30" s="167">
        <f t="shared" si="6"/>
        <v>3504832.67</v>
      </c>
      <c r="W30" s="167">
        <f t="shared" si="6"/>
        <v>15800389.75</v>
      </c>
      <c r="X30" s="167">
        <f t="shared" si="6"/>
        <v>484046.2</v>
      </c>
      <c r="Y30" s="167">
        <f t="shared" si="6"/>
        <v>9591959.379999999</v>
      </c>
      <c r="Z30" s="167">
        <f t="shared" si="6"/>
        <v>4910683.17</v>
      </c>
      <c r="AA30" s="167">
        <f t="shared" si="6"/>
        <v>1134572.45</v>
      </c>
      <c r="AB30" s="167">
        <f t="shared" si="6"/>
        <v>1304927.81</v>
      </c>
      <c r="AC30" s="167">
        <f t="shared" si="6"/>
        <v>4608813.3499999996</v>
      </c>
      <c r="AD30" s="167">
        <f t="shared" si="6"/>
        <v>7610270.8499999996</v>
      </c>
      <c r="AE30" s="167">
        <f t="shared" si="6"/>
        <v>3693005.05</v>
      </c>
      <c r="AF30" s="167">
        <f t="shared" si="6"/>
        <v>972078.66999999993</v>
      </c>
      <c r="AG30" s="167">
        <f t="shared" si="6"/>
        <v>5453381.3700000001</v>
      </c>
      <c r="AH30" s="167">
        <f t="shared" si="6"/>
        <v>16154715.800000001</v>
      </c>
      <c r="AI30" s="167">
        <f t="shared" si="6"/>
        <v>1609646</v>
      </c>
      <c r="AJ30" s="167">
        <f t="shared" si="6"/>
        <v>863363.16</v>
      </c>
      <c r="AK30" s="167">
        <f t="shared" si="6"/>
        <v>17609687.100000001</v>
      </c>
      <c r="AL30" s="167">
        <f t="shared" si="6"/>
        <v>9727418.6000000015</v>
      </c>
      <c r="AM30" s="167">
        <f t="shared" si="6"/>
        <v>11587493.5</v>
      </c>
      <c r="AN30" s="167">
        <f t="shared" si="6"/>
        <v>1403451.52</v>
      </c>
      <c r="AO30" s="167">
        <f t="shared" si="6"/>
        <v>8994469.7599999998</v>
      </c>
      <c r="AP30" s="167">
        <f t="shared" si="6"/>
        <v>5282352.57</v>
      </c>
      <c r="AQ30" s="167">
        <f t="shared" si="6"/>
        <v>4714241</v>
      </c>
      <c r="AR30" s="167">
        <f t="shared" si="6"/>
        <v>10428523.609999999</v>
      </c>
      <c r="AS30" s="167">
        <f t="shared" si="6"/>
        <v>5676255.4600000009</v>
      </c>
      <c r="AT30" s="167">
        <f t="shared" si="6"/>
        <v>9570422.3900000006</v>
      </c>
      <c r="AU30" s="167">
        <f t="shared" si="6"/>
        <v>1892477.35</v>
      </c>
      <c r="AV30" s="167">
        <f t="shared" si="6"/>
        <v>13471968.370000001</v>
      </c>
      <c r="AW30" s="167">
        <f t="shared" si="6"/>
        <v>6026726</v>
      </c>
      <c r="AX30" s="167">
        <f t="shared" si="6"/>
        <v>691813</v>
      </c>
      <c r="AY30" s="167">
        <f t="shared" si="6"/>
        <v>2001322.59</v>
      </c>
      <c r="AZ30" s="167">
        <f t="shared" si="6"/>
        <v>19520581.41</v>
      </c>
      <c r="BA30" s="167">
        <f t="shared" si="6"/>
        <v>3023471.06</v>
      </c>
      <c r="BB30" s="167">
        <f t="shared" si="6"/>
        <v>10935066</v>
      </c>
      <c r="BC30" s="167">
        <f t="shared" si="6"/>
        <v>142500</v>
      </c>
      <c r="BD30" s="167">
        <f t="shared" si="6"/>
        <v>69546558.280000001</v>
      </c>
      <c r="BE30" s="167">
        <f t="shared" si="6"/>
        <v>3987825.17</v>
      </c>
      <c r="BF30" s="13">
        <f t="shared" si="0"/>
        <v>338604003.44</v>
      </c>
      <c r="BG30" s="13">
        <f t="shared" si="1"/>
        <v>58391463.25999999</v>
      </c>
      <c r="BH30" s="13">
        <f t="shared" si="2"/>
        <v>216234624.74000001</v>
      </c>
    </row>
    <row r="31" spans="1:60" ht="15" thickBot="1" x14ac:dyDescent="0.25">
      <c r="B31" s="158"/>
      <c r="D31" s="13"/>
      <c r="E31" s="165"/>
      <c r="BF31" s="13"/>
      <c r="BG31" s="13"/>
      <c r="BH31" s="13"/>
    </row>
    <row r="32" spans="1:60" ht="15.75" thickBot="1" x14ac:dyDescent="0.3">
      <c r="A32" s="7" t="s">
        <v>518</v>
      </c>
      <c r="B32" s="178"/>
      <c r="C32" s="7"/>
      <c r="D32" s="168">
        <f>D17</f>
        <v>377953538.36000019</v>
      </c>
      <c r="E32" s="177">
        <f>E17</f>
        <v>2605216.3000000003</v>
      </c>
      <c r="F32" s="167">
        <f t="shared" ref="F32:BE32" si="7">F17</f>
        <v>1029884.8200000001</v>
      </c>
      <c r="G32" s="167">
        <f t="shared" si="7"/>
        <v>1878943.57</v>
      </c>
      <c r="H32" s="167">
        <f t="shared" si="7"/>
        <v>1884205.97</v>
      </c>
      <c r="I32" s="167">
        <f t="shared" si="7"/>
        <v>16366703</v>
      </c>
      <c r="J32" s="167">
        <f t="shared" si="7"/>
        <v>14187353.58</v>
      </c>
      <c r="K32" s="167">
        <f t="shared" si="7"/>
        <v>11806775.710000001</v>
      </c>
      <c r="L32" s="167">
        <f t="shared" si="7"/>
        <v>100901160.38</v>
      </c>
      <c r="M32" s="167">
        <f t="shared" si="7"/>
        <v>7807588.2300000004</v>
      </c>
      <c r="N32" s="167">
        <f t="shared" si="7"/>
        <v>457447.11</v>
      </c>
      <c r="O32" s="167">
        <f t="shared" si="7"/>
        <v>28576279</v>
      </c>
      <c r="P32" s="167">
        <f t="shared" si="7"/>
        <v>1163353.1099999999</v>
      </c>
      <c r="Q32" s="167">
        <f t="shared" si="7"/>
        <v>426223.56</v>
      </c>
      <c r="R32" s="167">
        <f t="shared" si="7"/>
        <v>1063954.5</v>
      </c>
      <c r="S32" s="167">
        <f t="shared" si="7"/>
        <v>1429194.53</v>
      </c>
      <c r="T32" s="167">
        <f t="shared" si="7"/>
        <v>3398557.75</v>
      </c>
      <c r="U32" s="167">
        <f t="shared" si="7"/>
        <v>927085.47</v>
      </c>
      <c r="V32" s="167">
        <f t="shared" si="7"/>
        <v>2249440.56</v>
      </c>
      <c r="W32" s="167">
        <f t="shared" si="7"/>
        <v>12586062.1</v>
      </c>
      <c r="X32" s="167">
        <f t="shared" si="7"/>
        <v>1940302.3</v>
      </c>
      <c r="Y32" s="167">
        <f t="shared" si="7"/>
        <v>4846822.5999999996</v>
      </c>
      <c r="Z32" s="167">
        <f t="shared" si="7"/>
        <v>9895727.1199999992</v>
      </c>
      <c r="AA32" s="167">
        <f t="shared" si="7"/>
        <v>57532.75</v>
      </c>
      <c r="AB32" s="167">
        <f t="shared" si="7"/>
        <v>922509.84000000008</v>
      </c>
      <c r="AC32" s="167">
        <f t="shared" si="7"/>
        <v>2624273.6999999997</v>
      </c>
      <c r="AD32" s="167">
        <f t="shared" si="7"/>
        <v>1886970.12</v>
      </c>
      <c r="AE32" s="167">
        <f t="shared" si="7"/>
        <v>2579904.71</v>
      </c>
      <c r="AF32" s="167">
        <f t="shared" si="7"/>
        <v>2829244.9699999997</v>
      </c>
      <c r="AG32" s="167">
        <f t="shared" si="7"/>
        <v>9934722.9600000009</v>
      </c>
      <c r="AH32" s="167">
        <f t="shared" si="7"/>
        <v>12429495.75</v>
      </c>
      <c r="AI32" s="167">
        <f t="shared" si="7"/>
        <v>808095</v>
      </c>
      <c r="AJ32" s="167">
        <f t="shared" si="7"/>
        <v>1009396.35</v>
      </c>
      <c r="AK32" s="167">
        <f t="shared" si="7"/>
        <v>8631919.5899999999</v>
      </c>
      <c r="AL32" s="167">
        <f t="shared" si="7"/>
        <v>5539646</v>
      </c>
      <c r="AM32" s="167">
        <f t="shared" si="7"/>
        <v>5168495.04</v>
      </c>
      <c r="AN32" s="167">
        <f t="shared" si="7"/>
        <v>598789.87</v>
      </c>
      <c r="AO32" s="167">
        <f t="shared" si="7"/>
        <v>10106677.479999999</v>
      </c>
      <c r="AP32" s="167">
        <f t="shared" si="7"/>
        <v>3591739.3000000003</v>
      </c>
      <c r="AQ32" s="167">
        <f t="shared" si="7"/>
        <v>2296347</v>
      </c>
      <c r="AR32" s="167">
        <f t="shared" si="7"/>
        <v>3012290.63</v>
      </c>
      <c r="AS32" s="167">
        <f t="shared" si="7"/>
        <v>3138918.75</v>
      </c>
      <c r="AT32" s="167">
        <f t="shared" si="7"/>
        <v>2482174.27</v>
      </c>
      <c r="AU32" s="167">
        <f t="shared" si="7"/>
        <v>1494437.21</v>
      </c>
      <c r="AV32" s="167">
        <f t="shared" si="7"/>
        <v>6671285.6099999994</v>
      </c>
      <c r="AW32" s="167">
        <f t="shared" si="7"/>
        <v>3293308.63</v>
      </c>
      <c r="AX32" s="167">
        <f t="shared" si="7"/>
        <v>756944.85</v>
      </c>
      <c r="AY32" s="167">
        <f t="shared" si="7"/>
        <v>1311205.6100000001</v>
      </c>
      <c r="AZ32" s="167">
        <f t="shared" si="7"/>
        <v>4675084.75</v>
      </c>
      <c r="BA32" s="167">
        <f t="shared" si="7"/>
        <v>1615489.17</v>
      </c>
      <c r="BB32" s="167">
        <f t="shared" si="7"/>
        <v>5949496</v>
      </c>
      <c r="BC32" s="167">
        <f t="shared" si="7"/>
        <v>384450</v>
      </c>
      <c r="BD32" s="167">
        <f t="shared" si="7"/>
        <v>42138657.090000004</v>
      </c>
      <c r="BE32" s="167">
        <f t="shared" si="7"/>
        <v>2585754.09</v>
      </c>
      <c r="BF32" s="13">
        <f t="shared" si="0"/>
        <v>210745429.25</v>
      </c>
      <c r="BG32" s="13">
        <f t="shared" si="1"/>
        <v>51764998.170000002</v>
      </c>
      <c r="BH32" s="13">
        <f t="shared" si="2"/>
        <v>115443110.94000001</v>
      </c>
    </row>
    <row r="33" spans="1:60" ht="15" thickBot="1" x14ac:dyDescent="0.25">
      <c r="B33" s="158"/>
      <c r="D33" s="13"/>
      <c r="E33" s="165"/>
      <c r="BF33" s="13"/>
      <c r="BG33" s="13"/>
      <c r="BH33" s="13"/>
    </row>
    <row r="34" spans="1:60" ht="15.75" thickBot="1" x14ac:dyDescent="0.3">
      <c r="A34" s="7" t="s">
        <v>523</v>
      </c>
      <c r="B34" s="178"/>
      <c r="C34" s="7"/>
      <c r="D34" s="168">
        <f>IF(D32&lt;&gt;0,D30/D32,"")*100</f>
        <v>162.25012579612346</v>
      </c>
      <c r="E34" s="177">
        <f>IF(E32&lt;&gt;0,E30/E32,"")*100</f>
        <v>392.7387334402905</v>
      </c>
      <c r="F34" s="167">
        <f t="shared" ref="F34:BH34" si="8">IF(F32&lt;&gt;0,F30/F32,"")*100</f>
        <v>232.7104452321183</v>
      </c>
      <c r="G34" s="167">
        <f t="shared" si="8"/>
        <v>277.48469582830523</v>
      </c>
      <c r="H34" s="167">
        <f t="shared" si="8"/>
        <v>221.4166941632183</v>
      </c>
      <c r="I34" s="167">
        <f t="shared" si="8"/>
        <v>159.02331703581351</v>
      </c>
      <c r="J34" s="167">
        <f t="shared" si="8"/>
        <v>163.45145336118424</v>
      </c>
      <c r="K34" s="167">
        <f t="shared" si="8"/>
        <v>87.584556901860537</v>
      </c>
      <c r="L34" s="167">
        <f t="shared" si="8"/>
        <v>164.97048895484664</v>
      </c>
      <c r="M34" s="167">
        <f t="shared" si="8"/>
        <v>98.422288210247984</v>
      </c>
      <c r="N34" s="167">
        <f t="shared" si="8"/>
        <v>210.42002648131279</v>
      </c>
      <c r="O34" s="167">
        <f t="shared" si="8"/>
        <v>159.62819613428326</v>
      </c>
      <c r="P34" s="167">
        <f t="shared" si="8"/>
        <v>241.65913047673038</v>
      </c>
      <c r="Q34" s="167">
        <f t="shared" si="8"/>
        <v>110.97438161325479</v>
      </c>
      <c r="R34" s="167">
        <f t="shared" si="8"/>
        <v>298.69165457733391</v>
      </c>
      <c r="S34" s="167">
        <f t="shared" si="8"/>
        <v>289.88950160619493</v>
      </c>
      <c r="T34" s="167">
        <f t="shared" si="8"/>
        <v>151.93619764148482</v>
      </c>
      <c r="U34" s="167">
        <f t="shared" si="8"/>
        <v>133.59819995884524</v>
      </c>
      <c r="V34" s="167">
        <f t="shared" si="8"/>
        <v>155.8090812588531</v>
      </c>
      <c r="W34" s="167">
        <f t="shared" si="8"/>
        <v>125.53878746554095</v>
      </c>
      <c r="X34" s="167">
        <f t="shared" si="8"/>
        <v>24.946947699850689</v>
      </c>
      <c r="Y34" s="167">
        <f t="shared" si="8"/>
        <v>197.90201069046759</v>
      </c>
      <c r="Z34" s="167">
        <f t="shared" si="8"/>
        <v>49.624278342064876</v>
      </c>
      <c r="AA34" s="167">
        <f t="shared" si="8"/>
        <v>1972.0462692987905</v>
      </c>
      <c r="AB34" s="167">
        <f t="shared" si="8"/>
        <v>141.45408031636822</v>
      </c>
      <c r="AC34" s="167">
        <f t="shared" si="8"/>
        <v>175.62243412339194</v>
      </c>
      <c r="AD34" s="167">
        <f t="shared" si="8"/>
        <v>403.30637826951914</v>
      </c>
      <c r="AE34" s="167">
        <f t="shared" si="8"/>
        <v>143.14501755376847</v>
      </c>
      <c r="AF34" s="167">
        <f t="shared" si="8"/>
        <v>34.35823621876051</v>
      </c>
      <c r="AG34" s="167">
        <f t="shared" si="8"/>
        <v>54.892133298098521</v>
      </c>
      <c r="AH34" s="167">
        <f t="shared" si="8"/>
        <v>129.97080593555052</v>
      </c>
      <c r="AI34" s="167">
        <f t="shared" si="8"/>
        <v>199.19019422221399</v>
      </c>
      <c r="AJ34" s="167">
        <f t="shared" si="8"/>
        <v>85.532621551484709</v>
      </c>
      <c r="AK34" s="167">
        <f t="shared" si="8"/>
        <v>204.00661656302569</v>
      </c>
      <c r="AL34" s="167">
        <f t="shared" si="8"/>
        <v>175.59639370457973</v>
      </c>
      <c r="AM34" s="167">
        <f t="shared" si="8"/>
        <v>224.19473000016654</v>
      </c>
      <c r="AN34" s="167">
        <f t="shared" si="8"/>
        <v>234.38130641722447</v>
      </c>
      <c r="AO34" s="167">
        <f t="shared" si="8"/>
        <v>88.995317974666392</v>
      </c>
      <c r="AP34" s="167">
        <f t="shared" si="8"/>
        <v>147.06948719802685</v>
      </c>
      <c r="AQ34" s="167">
        <f t="shared" si="8"/>
        <v>205.29305893229554</v>
      </c>
      <c r="AR34" s="167">
        <f t="shared" si="8"/>
        <v>346.19911857575312</v>
      </c>
      <c r="AS34" s="167">
        <f t="shared" si="8"/>
        <v>180.83473680228266</v>
      </c>
      <c r="AT34" s="167">
        <f t="shared" si="8"/>
        <v>385.56609443864716</v>
      </c>
      <c r="AU34" s="167">
        <f t="shared" si="8"/>
        <v>126.63478514430193</v>
      </c>
      <c r="AV34" s="167">
        <f t="shared" si="8"/>
        <v>201.93961340533889</v>
      </c>
      <c r="AW34" s="167">
        <f t="shared" si="8"/>
        <v>182.99912571510191</v>
      </c>
      <c r="AX34" s="167">
        <f t="shared" si="8"/>
        <v>91.39542993125589</v>
      </c>
      <c r="AY34" s="167">
        <f t="shared" si="8"/>
        <v>152.63224735592763</v>
      </c>
      <c r="AZ34" s="167">
        <f t="shared" si="8"/>
        <v>417.54497413121766</v>
      </c>
      <c r="BA34" s="167">
        <f t="shared" si="8"/>
        <v>187.15514261231476</v>
      </c>
      <c r="BB34" s="167">
        <f t="shared" si="8"/>
        <v>183.79819063665224</v>
      </c>
      <c r="BC34" s="167">
        <f t="shared" si="8"/>
        <v>37.065938353492001</v>
      </c>
      <c r="BD34" s="167">
        <f t="shared" si="8"/>
        <v>165.04217999036379</v>
      </c>
      <c r="BE34" s="167">
        <f t="shared" si="8"/>
        <v>154.22290872215154</v>
      </c>
      <c r="BF34" s="167">
        <f t="shared" si="8"/>
        <v>160.66967841011905</v>
      </c>
      <c r="BG34" s="167">
        <f t="shared" si="8"/>
        <v>112.80105346133347</v>
      </c>
      <c r="BH34" s="167">
        <f t="shared" si="8"/>
        <v>187.30838330611604</v>
      </c>
    </row>
    <row r="35" spans="1:60" x14ac:dyDescent="0.2">
      <c r="A35" s="173" t="s">
        <v>524</v>
      </c>
      <c r="B35" s="158"/>
      <c r="D35" s="13"/>
    </row>
    <row r="36" spans="1:60" x14ac:dyDescent="0.2">
      <c r="B36" s="158"/>
      <c r="D36" s="13"/>
    </row>
    <row r="37" spans="1:60" x14ac:dyDescent="0.2">
      <c r="D37"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40"/>
  <sheetViews>
    <sheetView workbookViewId="0">
      <pane xSplit="4" ySplit="5" topLeftCell="AZ6" activePane="bottomRight" state="frozen"/>
      <selection activeCell="BD45" sqref="BD45"/>
      <selection pane="topRight" activeCell="BD45" sqref="BD45"/>
      <selection pane="bottomLeft" activeCell="BD45" sqref="BD45"/>
      <selection pane="bottomRight" activeCell="BD45" sqref="BD45"/>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219" t="s">
        <v>491</v>
      </c>
      <c r="B2" s="219"/>
      <c r="C2" s="219"/>
      <c r="D2" s="219"/>
    </row>
    <row r="4" spans="1:60" ht="15" x14ac:dyDescent="0.25">
      <c r="A4" s="7" t="s">
        <v>525</v>
      </c>
      <c r="B4" s="158"/>
      <c r="C4" s="33" t="s">
        <v>493</v>
      </c>
      <c r="D4" s="33" t="s">
        <v>494</v>
      </c>
      <c r="E4" s="183">
        <f>'4.1 Comptes 2022 natures'!E3</f>
        <v>951</v>
      </c>
      <c r="F4" s="183">
        <f>'4.1 Comptes 2022 natures'!F3</f>
        <v>258</v>
      </c>
      <c r="G4" s="183">
        <f>'4.1 Comptes 2022 natures'!G3</f>
        <v>471</v>
      </c>
      <c r="H4" s="183">
        <f>'4.1 Comptes 2022 natures'!H3</f>
        <v>441</v>
      </c>
      <c r="I4" s="183">
        <f>'4.1 Comptes 2022 natures'!I3</f>
        <v>3686</v>
      </c>
      <c r="J4" s="183">
        <f>'4.1 Comptes 2022 natures'!J3</f>
        <v>3313</v>
      </c>
      <c r="K4" s="183">
        <f>'4.1 Comptes 2022 natures'!K3</f>
        <v>2654</v>
      </c>
      <c r="L4" s="184">
        <f>'4.1 Comptes 2022 natures'!L3</f>
        <v>12636</v>
      </c>
      <c r="M4" s="184">
        <f>'4.1 Comptes 2022 natures'!M3</f>
        <v>1360</v>
      </c>
      <c r="N4" s="184">
        <f>'4.1 Comptes 2022 natures'!N3</f>
        <v>112</v>
      </c>
      <c r="O4" s="184">
        <f>'4.1 Comptes 2022 natures'!O3</f>
        <v>7319</v>
      </c>
      <c r="P4" s="184">
        <f>'4.1 Comptes 2022 natures'!P3</f>
        <v>522</v>
      </c>
      <c r="Q4" s="184">
        <f>'4.1 Comptes 2022 natures'!Q3</f>
        <v>106</v>
      </c>
      <c r="R4" s="184">
        <f>'4.1 Comptes 2022 natures'!R3</f>
        <v>425</v>
      </c>
      <c r="S4" s="184">
        <f>'4.1 Comptes 2022 natures'!S3</f>
        <v>350</v>
      </c>
      <c r="T4" s="184">
        <f>'4.1 Comptes 2022 natures'!T3</f>
        <v>733</v>
      </c>
      <c r="U4" s="184">
        <f>'4.1 Comptes 2022 natures'!U3</f>
        <v>270</v>
      </c>
      <c r="V4" s="184">
        <f>'4.1 Comptes 2022 natures'!V3</f>
        <v>417</v>
      </c>
      <c r="W4" s="184">
        <f>'4.1 Comptes 2022 natures'!W3</f>
        <v>3285</v>
      </c>
      <c r="X4" s="184">
        <f>'4.1 Comptes 2022 natures'!X3</f>
        <v>308</v>
      </c>
      <c r="Y4" s="184">
        <f>'4.1 Comptes 2022 natures'!Y3</f>
        <v>1258</v>
      </c>
      <c r="Z4" s="184">
        <f>'4.1 Comptes 2022 natures'!Z3</f>
        <v>1524</v>
      </c>
      <c r="AA4" s="184">
        <f>'4.1 Comptes 2022 natures'!AA3</f>
        <v>87</v>
      </c>
      <c r="AB4" s="184">
        <f>'4.1 Comptes 2022 natures'!AB3</f>
        <v>156</v>
      </c>
      <c r="AC4" s="184">
        <f>'4.1 Comptes 2022 natures'!AC3</f>
        <v>510</v>
      </c>
      <c r="AD4" s="184">
        <f>'4.1 Comptes 2022 natures'!AD3</f>
        <v>705</v>
      </c>
      <c r="AE4" s="184">
        <f>'4.1 Comptes 2022 natures'!AE3</f>
        <v>551</v>
      </c>
      <c r="AF4" s="184">
        <f>'4.1 Comptes 2022 natures'!AF3</f>
        <v>511</v>
      </c>
      <c r="AG4" s="184">
        <f>'4.1 Comptes 2022 natures'!AG3</f>
        <v>1902</v>
      </c>
      <c r="AH4" s="184">
        <f>'4.1 Comptes 2022 natures'!AH3</f>
        <v>2575</v>
      </c>
      <c r="AI4" s="184">
        <f>'4.1 Comptes 2022 natures'!AI3</f>
        <v>228</v>
      </c>
      <c r="AJ4" s="184">
        <f>'4.1 Comptes 2022 natures'!AJ3</f>
        <v>118</v>
      </c>
      <c r="AK4" s="184">
        <f>'4.1 Comptes 2022 natures'!AK3</f>
        <v>1882</v>
      </c>
      <c r="AL4" s="184">
        <f>'4.1 Comptes 2022 natures'!AL3</f>
        <v>1114</v>
      </c>
      <c r="AM4" s="184">
        <f>'4.1 Comptes 2022 natures'!AM3</f>
        <v>1217</v>
      </c>
      <c r="AN4" s="184">
        <f>'4.1 Comptes 2022 natures'!AN3</f>
        <v>117</v>
      </c>
      <c r="AO4" s="184">
        <f>'4.1 Comptes 2022 natures'!AO3</f>
        <v>1205</v>
      </c>
      <c r="AP4" s="184">
        <f>'4.1 Comptes 2022 natures'!AP3</f>
        <v>625</v>
      </c>
      <c r="AQ4" s="184">
        <f>'4.1 Comptes 2022 natures'!AQ3</f>
        <v>631</v>
      </c>
      <c r="AR4" s="184">
        <f>'4.1 Comptes 2022 natures'!AR3</f>
        <v>1275</v>
      </c>
      <c r="AS4" s="184">
        <f>'4.1 Comptes 2022 natures'!AS3</f>
        <v>718</v>
      </c>
      <c r="AT4" s="184">
        <f>'4.1 Comptes 2022 natures'!AT3</f>
        <v>1018</v>
      </c>
      <c r="AU4" s="184">
        <f>'4.1 Comptes 2022 natures'!AU3</f>
        <v>293</v>
      </c>
      <c r="AV4" s="184">
        <f>'4.1 Comptes 2022 natures'!AV3</f>
        <v>2435</v>
      </c>
      <c r="AW4" s="184">
        <f>'4.1 Comptes 2022 natures'!AW3</f>
        <v>786</v>
      </c>
      <c r="AX4" s="184">
        <f>'4.1 Comptes 2022 natures'!AX3</f>
        <v>184</v>
      </c>
      <c r="AY4" s="184">
        <f>'4.1 Comptes 2022 natures'!AY3</f>
        <v>333</v>
      </c>
      <c r="AZ4" s="184">
        <f>'4.1 Comptes 2022 natures'!AZ3</f>
        <v>1674</v>
      </c>
      <c r="BA4" s="184">
        <f>'4.1 Comptes 2022 natures'!BA3</f>
        <v>391</v>
      </c>
      <c r="BB4" s="184">
        <f>'4.1 Comptes 2022 natures'!BB3</f>
        <v>1052</v>
      </c>
      <c r="BC4" s="183">
        <f>'4.1 Comptes 2022 natures'!BC3</f>
        <v>186</v>
      </c>
      <c r="BD4" s="183">
        <f>'4.1 Comptes 2022 natures'!BD3</f>
        <v>6441</v>
      </c>
      <c r="BE4" s="184">
        <f>'4.1 Comptes 2022 natures'!BE3</f>
        <v>546</v>
      </c>
      <c r="BF4" s="182">
        <f>'4.1 Comptes 2022 natures'!BG3</f>
        <v>39309</v>
      </c>
      <c r="BG4" s="182">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ht="15" x14ac:dyDescent="0.25">
      <c r="A6" s="7" t="s">
        <v>848</v>
      </c>
      <c r="B6" s="112"/>
      <c r="C6" s="8">
        <v>690</v>
      </c>
      <c r="D6" s="172">
        <f>'Base de données indicateurs1'!BF59</f>
        <v>58141471.820000008</v>
      </c>
      <c r="E6" s="13">
        <f>'Base de données indicateurs1'!E59</f>
        <v>371702.39</v>
      </c>
      <c r="F6" s="13">
        <f>'Base de données indicateurs1'!F59</f>
        <v>28081.5</v>
      </c>
      <c r="G6" s="13">
        <f>'Base de données indicateurs1'!G59</f>
        <v>242182.39999999999</v>
      </c>
      <c r="H6" s="13">
        <f>'Base de données indicateurs1'!H59</f>
        <v>62259.15</v>
      </c>
      <c r="I6" s="13">
        <f>'Base de données indicateurs1'!I59</f>
        <v>2378465.62</v>
      </c>
      <c r="J6" s="13">
        <f>'Base de données indicateurs1'!J59</f>
        <v>2202642.27</v>
      </c>
      <c r="K6" s="13">
        <f>'Base de données indicateurs1'!K59</f>
        <v>979069.46</v>
      </c>
      <c r="L6" s="13">
        <f>'Base de données indicateurs1'!L59</f>
        <v>12017308.6</v>
      </c>
      <c r="M6" s="13">
        <f>'Base de données indicateurs1'!M59</f>
        <v>1910906.37</v>
      </c>
      <c r="N6" s="13">
        <f>'Base de données indicateurs1'!N59</f>
        <v>41267.75</v>
      </c>
      <c r="O6" s="13">
        <f>'Base de données indicateurs1'!O59</f>
        <v>5431484.6500000004</v>
      </c>
      <c r="P6" s="13">
        <f>'Base de données indicateurs1'!P59</f>
        <v>50979.71</v>
      </c>
      <c r="Q6" s="13">
        <f>'Base de données indicateurs1'!Q59</f>
        <v>2188.15</v>
      </c>
      <c r="R6" s="13">
        <f>'Base de données indicateurs1'!R59</f>
        <v>43432.21</v>
      </c>
      <c r="S6" s="13">
        <f>'Base de données indicateurs1'!S59</f>
        <v>209.25</v>
      </c>
      <c r="T6" s="13">
        <f>'Base de données indicateurs1'!T59</f>
        <v>198621.2</v>
      </c>
      <c r="U6" s="13">
        <f>'Base de données indicateurs1'!U59</f>
        <v>112192.75</v>
      </c>
      <c r="V6" s="13">
        <f>'Base de données indicateurs1'!V59</f>
        <v>65376</v>
      </c>
      <c r="W6" s="13">
        <f>'Base de données indicateurs1'!W59</f>
        <v>4915498.45</v>
      </c>
      <c r="X6" s="13">
        <f>'Base de données indicateurs1'!X59</f>
        <v>331568.45</v>
      </c>
      <c r="Y6" s="13">
        <f>'Base de données indicateurs1'!Y59</f>
        <v>568913.5</v>
      </c>
      <c r="Z6" s="13">
        <f>'Base de données indicateurs1'!Z59</f>
        <v>356335.8</v>
      </c>
      <c r="AA6" s="13">
        <f>'Base de données indicateurs1'!AA59</f>
        <v>339692.7</v>
      </c>
      <c r="AB6" s="13">
        <f>'Base de données indicateurs1'!AB59</f>
        <v>178259.75</v>
      </c>
      <c r="AC6" s="13">
        <f>'Base de données indicateurs1'!AC59</f>
        <v>373782</v>
      </c>
      <c r="AD6" s="13">
        <f>'Base de données indicateurs1'!AD59</f>
        <v>1534075.49</v>
      </c>
      <c r="AE6" s="13">
        <f>'Base de données indicateurs1'!AE59</f>
        <v>482944.8</v>
      </c>
      <c r="AF6" s="13">
        <f>'Base de données indicateurs1'!AF59</f>
        <v>606075.91</v>
      </c>
      <c r="AG6" s="13">
        <f>'Base de données indicateurs1'!AG59</f>
        <v>830847.02</v>
      </c>
      <c r="AH6" s="13">
        <f>'Base de données indicateurs1'!AH59</f>
        <v>1171479.83</v>
      </c>
      <c r="AI6" s="13">
        <f>'Base de données indicateurs1'!AI59</f>
        <v>25468.85</v>
      </c>
      <c r="AJ6" s="13">
        <f>'Base de données indicateurs1'!AJ59</f>
        <v>66722.850000000006</v>
      </c>
      <c r="AK6" s="13">
        <f>'Base de données indicateurs1'!AK59</f>
        <v>723238.84</v>
      </c>
      <c r="AL6" s="13">
        <f>'Base de données indicateurs1'!AL59</f>
        <v>248880.85</v>
      </c>
      <c r="AM6" s="13">
        <f>'Base de données indicateurs1'!AM59</f>
        <v>463854.36</v>
      </c>
      <c r="AN6" s="13">
        <f>'Base de données indicateurs1'!AN59</f>
        <v>19656.5</v>
      </c>
      <c r="AO6" s="13">
        <f>'Base de données indicateurs1'!AO59</f>
        <v>1528389.06</v>
      </c>
      <c r="AP6" s="13">
        <f>'Base de données indicateurs1'!AP59</f>
        <v>334781.95</v>
      </c>
      <c r="AQ6" s="13">
        <f>'Base de données indicateurs1'!AQ59</f>
        <v>1123724.8</v>
      </c>
      <c r="AR6" s="13">
        <f>'Base de données indicateurs1'!AR59</f>
        <v>1965475.15</v>
      </c>
      <c r="AS6" s="13">
        <f>'Base de données indicateurs1'!AS59</f>
        <v>152819.9</v>
      </c>
      <c r="AT6" s="13">
        <f>'Base de données indicateurs1'!AT59</f>
        <v>1040598.75</v>
      </c>
      <c r="AU6" s="13">
        <f>'Base de données indicateurs1'!AU59</f>
        <v>177717.8</v>
      </c>
      <c r="AV6" s="13">
        <f>'Base de données indicateurs1'!AV59</f>
        <v>2134973.85</v>
      </c>
      <c r="AW6" s="13">
        <f>'Base de données indicateurs1'!AW59</f>
        <v>344279.7</v>
      </c>
      <c r="AX6" s="13">
        <f>'Base de données indicateurs1'!AX59</f>
        <v>0</v>
      </c>
      <c r="AY6" s="13">
        <f>'Base de données indicateurs1'!AY59</f>
        <v>84585.35</v>
      </c>
      <c r="AZ6" s="13">
        <f>'Base de données indicateurs1'!AZ59</f>
        <v>264388.7</v>
      </c>
      <c r="BA6" s="13">
        <f>'Base de données indicateurs1'!BA59</f>
        <v>1181638.93</v>
      </c>
      <c r="BB6" s="13">
        <f>'Base de données indicateurs1'!BB59</f>
        <v>944192.91</v>
      </c>
      <c r="BC6" s="13">
        <f>'Base de données indicateurs1'!BC59</f>
        <v>469551.45</v>
      </c>
      <c r="BD6" s="13">
        <f>'Base de données indicateurs1'!BD59</f>
        <v>6984682.2400000002</v>
      </c>
      <c r="BE6" s="13">
        <f>'Base de données indicateurs1'!BE59</f>
        <v>34005.9</v>
      </c>
      <c r="BF6" s="13">
        <f>SUM(E6:W6)</f>
        <v>31053867.880000003</v>
      </c>
      <c r="BG6" s="13">
        <f>SUM(X6:AJ6)</f>
        <v>6866166.9499999993</v>
      </c>
      <c r="BH6" s="13">
        <f>SUM(AK6:BE6)</f>
        <v>20221436.989999995</v>
      </c>
    </row>
    <row r="7" spans="1:60" x14ac:dyDescent="0.2">
      <c r="B7" s="169"/>
      <c r="D7" s="13"/>
      <c r="BF7" s="13"/>
      <c r="BG7" s="13"/>
      <c r="BH7" s="13"/>
    </row>
    <row r="8" spans="1:60" x14ac:dyDescent="0.2">
      <c r="A8" s="159" t="s">
        <v>275</v>
      </c>
      <c r="B8" s="160" t="s">
        <v>224</v>
      </c>
      <c r="C8" s="159">
        <v>30</v>
      </c>
      <c r="D8" s="161">
        <f>'Base de données indicateurs1'!BF18</f>
        <v>72750464.63000001</v>
      </c>
      <c r="E8" s="13">
        <f>'Base de données indicateurs1'!E18</f>
        <v>474056.55</v>
      </c>
      <c r="F8" s="13">
        <f>'Base de données indicateurs1'!F18</f>
        <v>55628.95</v>
      </c>
      <c r="G8" s="13">
        <f>'Base de données indicateurs1'!G18</f>
        <v>130298.9</v>
      </c>
      <c r="H8" s="13">
        <f>'Base de données indicateurs1'!H18</f>
        <v>307735.59999999998</v>
      </c>
      <c r="I8" s="13">
        <f>'Base de données indicateurs1'!I18</f>
        <v>2761930</v>
      </c>
      <c r="J8" s="13">
        <f>'Base de données indicateurs1'!J18</f>
        <v>3005501.54</v>
      </c>
      <c r="K8" s="13">
        <f>'Base de données indicateurs1'!K18</f>
        <v>1153633.3</v>
      </c>
      <c r="L8" s="13">
        <f>'Base de données indicateurs1'!L18</f>
        <v>24870275.210000001</v>
      </c>
      <c r="M8" s="13">
        <f>'Base de données indicateurs1'!M18</f>
        <v>1252476.42</v>
      </c>
      <c r="N8" s="13">
        <f>'Base de données indicateurs1'!N18</f>
        <v>61533.25</v>
      </c>
      <c r="O8" s="13">
        <f>'Base de données indicateurs1'!O18</f>
        <v>3779159.4</v>
      </c>
      <c r="P8" s="13">
        <f>'Base de données indicateurs1'!P18</f>
        <v>191539.65</v>
      </c>
      <c r="Q8" s="13">
        <f>'Base de données indicateurs1'!Q18</f>
        <v>78863.78</v>
      </c>
      <c r="R8" s="13">
        <f>'Base de données indicateurs1'!R18</f>
        <v>242074.45</v>
      </c>
      <c r="S8" s="13">
        <f>'Base de données indicateurs1'!S18</f>
        <v>176816.75</v>
      </c>
      <c r="T8" s="13">
        <f>'Base de données indicateurs1'!T18</f>
        <v>293823.65000000002</v>
      </c>
      <c r="U8" s="13">
        <f>'Base de données indicateurs1'!U18</f>
        <v>115826.05</v>
      </c>
      <c r="V8" s="13">
        <f>'Base de données indicateurs1'!V18</f>
        <v>323054.7</v>
      </c>
      <c r="W8" s="13">
        <f>'Base de données indicateurs1'!W18</f>
        <v>2360794.85</v>
      </c>
      <c r="X8" s="13">
        <f>'Base de données indicateurs1'!X18</f>
        <v>124965.4</v>
      </c>
      <c r="Y8" s="13">
        <f>'Base de données indicateurs1'!Y18</f>
        <v>1549985.3</v>
      </c>
      <c r="Z8" s="13">
        <f>'Base de données indicateurs1'!Z18</f>
        <v>1861815.14</v>
      </c>
      <c r="AA8" s="13">
        <f>'Base de données indicateurs1'!AA18</f>
        <v>83270.2</v>
      </c>
      <c r="AB8" s="13">
        <f>'Base de données indicateurs1'!AB18</f>
        <v>69118.75</v>
      </c>
      <c r="AC8" s="13">
        <f>'Base de données indicateurs1'!AC18</f>
        <v>397982.8</v>
      </c>
      <c r="AD8" s="13">
        <f>'Base de données indicateurs1'!AD18</f>
        <v>544459.31999999995</v>
      </c>
      <c r="AE8" s="13">
        <f>'Base de données indicateurs1'!AE18</f>
        <v>467033.55</v>
      </c>
      <c r="AF8" s="13">
        <f>'Base de données indicateurs1'!AF18</f>
        <v>393652.95</v>
      </c>
      <c r="AG8" s="13">
        <f>'Base de données indicateurs1'!AG18</f>
        <v>1109297.95</v>
      </c>
      <c r="AH8" s="13">
        <f>'Base de données indicateurs1'!AH18</f>
        <v>1867747.2</v>
      </c>
      <c r="AI8" s="13">
        <f>'Base de données indicateurs1'!AI18</f>
        <v>109215</v>
      </c>
      <c r="AJ8" s="13">
        <f>'Base de données indicateurs1'!AJ18</f>
        <v>64369.8</v>
      </c>
      <c r="AK8" s="13">
        <f>'Base de données indicateurs1'!AK18</f>
        <v>768568.5</v>
      </c>
      <c r="AL8" s="13">
        <f>'Base de données indicateurs1'!AL18</f>
        <v>666116.69999999995</v>
      </c>
      <c r="AM8" s="13">
        <f>'Base de données indicateurs1'!AM18</f>
        <v>498553.9</v>
      </c>
      <c r="AN8" s="13">
        <f>'Base de données indicateurs1'!AN18</f>
        <v>72884.070000000007</v>
      </c>
      <c r="AO8" s="13">
        <f>'Base de données indicateurs1'!AO18</f>
        <v>1428655.11</v>
      </c>
      <c r="AP8" s="13">
        <f>'Base de données indicateurs1'!AP18</f>
        <v>852696.75</v>
      </c>
      <c r="AQ8" s="13">
        <f>'Base de données indicateurs1'!AQ18</f>
        <v>233339</v>
      </c>
      <c r="AR8" s="13">
        <f>'Base de données indicateurs1'!AR18</f>
        <v>1252086.5900000001</v>
      </c>
      <c r="AS8" s="13">
        <f>'Base de données indicateurs1'!AS18</f>
        <v>424569.59999999998</v>
      </c>
      <c r="AT8" s="13">
        <f>'Base de données indicateurs1'!AT18</f>
        <v>522131.95</v>
      </c>
      <c r="AU8" s="13">
        <f>'Base de données indicateurs1'!AU18</f>
        <v>114398.2</v>
      </c>
      <c r="AV8" s="13">
        <f>'Base de données indicateurs1'!AV18</f>
        <v>995464.18</v>
      </c>
      <c r="AW8" s="13">
        <f>'Base de données indicateurs1'!AW18</f>
        <v>479998.18</v>
      </c>
      <c r="AX8" s="13">
        <f>'Base de données indicateurs1'!AX18</f>
        <v>78025.460000000006</v>
      </c>
      <c r="AY8" s="13">
        <f>'Base de données indicateurs1'!AY18</f>
        <v>153869.65</v>
      </c>
      <c r="AZ8" s="13">
        <f>'Base de données indicateurs1'!AZ18</f>
        <v>864110.75</v>
      </c>
      <c r="BA8" s="13">
        <f>'Base de données indicateurs1'!BA18</f>
        <v>138835.81</v>
      </c>
      <c r="BB8" s="13">
        <f>'Base de données indicateurs1'!BB18</f>
        <v>1314191</v>
      </c>
      <c r="BC8" s="13">
        <f>'Base de données indicateurs1'!BC18</f>
        <v>79962.64</v>
      </c>
      <c r="BD8" s="13">
        <f>'Base de données indicateurs1'!BD18</f>
        <v>11212954.529999999</v>
      </c>
      <c r="BE8" s="13">
        <f>'Base de données indicateurs1'!BE18</f>
        <v>321115.7</v>
      </c>
      <c r="BF8" s="13">
        <f t="shared" ref="BF8:BF35" si="0">SUM(E8:W8)</f>
        <v>41635023</v>
      </c>
      <c r="BG8" s="13">
        <f t="shared" ref="BG8:BG35" si="1">SUM(X8:AJ8)</f>
        <v>8642913.3600000013</v>
      </c>
      <c r="BH8" s="13">
        <f t="shared" ref="BH8:BH35" si="2">SUM(AK8:BE8)</f>
        <v>22472528.27</v>
      </c>
    </row>
    <row r="9" spans="1:60" x14ac:dyDescent="0.2">
      <c r="A9" s="162" t="s">
        <v>526</v>
      </c>
      <c r="B9" s="163" t="s">
        <v>224</v>
      </c>
      <c r="C9" s="162">
        <v>31</v>
      </c>
      <c r="D9" s="164">
        <f>'Base de données indicateurs1'!BF19</f>
        <v>86998082.780000001</v>
      </c>
      <c r="E9" s="13">
        <f>'Base de données indicateurs1'!E19</f>
        <v>583887.39</v>
      </c>
      <c r="F9" s="13">
        <f>'Base de données indicateurs1'!F19</f>
        <v>229366.63</v>
      </c>
      <c r="G9" s="13">
        <f>'Base de données indicateurs1'!G19</f>
        <v>283655.17</v>
      </c>
      <c r="H9" s="13">
        <f>'Base de données indicateurs1'!H19</f>
        <v>418572.44</v>
      </c>
      <c r="I9" s="13">
        <f>'Base de données indicateurs1'!I19</f>
        <v>3969854</v>
      </c>
      <c r="J9" s="13">
        <f>'Base de données indicateurs1'!J19</f>
        <v>3095150.99</v>
      </c>
      <c r="K9" s="13">
        <f>'Base de données indicateurs1'!K19</f>
        <v>1907924.19</v>
      </c>
      <c r="L9" s="13">
        <f>'Base de données indicateurs1'!L19</f>
        <v>28949575.649999999</v>
      </c>
      <c r="M9" s="13">
        <f>'Base de données indicateurs1'!M19</f>
        <v>2221486.86</v>
      </c>
      <c r="N9" s="13">
        <f>'Base de données indicateurs1'!N19</f>
        <v>96509.63</v>
      </c>
      <c r="O9" s="13">
        <f>'Base de données indicateurs1'!O19</f>
        <v>4114124.04</v>
      </c>
      <c r="P9" s="13">
        <f>'Base de données indicateurs1'!P19</f>
        <v>449768.12</v>
      </c>
      <c r="Q9" s="13">
        <f>'Base de données indicateurs1'!Q19</f>
        <v>57746.6</v>
      </c>
      <c r="R9" s="13">
        <f>'Base de données indicateurs1'!R19</f>
        <v>283596.81</v>
      </c>
      <c r="S9" s="13">
        <f>'Base de données indicateurs1'!S19</f>
        <v>386778.97</v>
      </c>
      <c r="T9" s="13">
        <f>'Base de données indicateurs1'!T19</f>
        <v>738373.73</v>
      </c>
      <c r="U9" s="13">
        <f>'Base de données indicateurs1'!U19</f>
        <v>226651.27</v>
      </c>
      <c r="V9" s="13">
        <f>'Base de données indicateurs1'!V19</f>
        <v>549811.06999999995</v>
      </c>
      <c r="W9" s="13">
        <f>'Base de données indicateurs1'!W19</f>
        <v>1780577.45</v>
      </c>
      <c r="X9" s="13">
        <f>'Base de données indicateurs1'!X19</f>
        <v>530833.68999999994</v>
      </c>
      <c r="Y9" s="13">
        <f>'Base de données indicateurs1'!Y19</f>
        <v>1253524.82</v>
      </c>
      <c r="Z9" s="13">
        <f>'Base de données indicateurs1'!Z19</f>
        <v>2645426.5699999998</v>
      </c>
      <c r="AA9" s="13">
        <f>'Base de données indicateurs1'!AA19</f>
        <v>123871.39</v>
      </c>
      <c r="AB9" s="13">
        <f>'Base de données indicateurs1'!AB19</f>
        <v>253073.87</v>
      </c>
      <c r="AC9" s="13">
        <f>'Base de données indicateurs1'!AC19</f>
        <v>726889.3</v>
      </c>
      <c r="AD9" s="13">
        <f>'Base de données indicateurs1'!AD19</f>
        <v>844612.26</v>
      </c>
      <c r="AE9" s="13">
        <f>'Base de données indicateurs1'!AE19</f>
        <v>961393.15</v>
      </c>
      <c r="AF9" s="13">
        <f>'Base de données indicateurs1'!AF19</f>
        <v>1008013.94</v>
      </c>
      <c r="AG9" s="13">
        <f>'Base de données indicateurs1'!AG19</f>
        <v>1924341.44</v>
      </c>
      <c r="AH9" s="13">
        <f>'Base de données indicateurs1'!AH19</f>
        <v>2789559.55</v>
      </c>
      <c r="AI9" s="13">
        <f>'Base de données indicateurs1'!AI19</f>
        <v>318646</v>
      </c>
      <c r="AJ9" s="13">
        <f>'Base de données indicateurs1'!AJ19</f>
        <v>190080.83</v>
      </c>
      <c r="AK9" s="13">
        <f>'Base de données indicateurs1'!AK19</f>
        <v>1257492.74</v>
      </c>
      <c r="AL9" s="13">
        <f>'Base de données indicateurs1'!AL19</f>
        <v>1302141</v>
      </c>
      <c r="AM9" s="13">
        <f>'Base de données indicateurs1'!AM19</f>
        <v>1198158.21</v>
      </c>
      <c r="AN9" s="13">
        <f>'Base de données indicateurs1'!AN19</f>
        <v>199874.65</v>
      </c>
      <c r="AO9" s="13">
        <f>'Base de données indicateurs1'!AO19</f>
        <v>1922502.94</v>
      </c>
      <c r="AP9" s="13">
        <f>'Base de données indicateurs1'!AP19</f>
        <v>638195.15</v>
      </c>
      <c r="AQ9" s="13">
        <f>'Base de données indicateurs1'!AQ19</f>
        <v>480073</v>
      </c>
      <c r="AR9" s="13">
        <f>'Base de données indicateurs1'!AR19</f>
        <v>1502327.81</v>
      </c>
      <c r="AS9" s="13">
        <f>'Base de données indicateurs1'!AS19</f>
        <v>582798.81000000006</v>
      </c>
      <c r="AT9" s="13">
        <f>'Base de données indicateurs1'!AT19</f>
        <v>810987.21</v>
      </c>
      <c r="AU9" s="13">
        <f>'Base de données indicateurs1'!AU19</f>
        <v>381608.52</v>
      </c>
      <c r="AV9" s="13">
        <f>'Base de données indicateurs1'!AV19</f>
        <v>1568985.1</v>
      </c>
      <c r="AW9" s="13">
        <f>'Base de données indicateurs1'!AW19</f>
        <v>585897.68000000005</v>
      </c>
      <c r="AX9" s="13">
        <f>'Base de données indicateurs1'!AX19</f>
        <v>172977.77</v>
      </c>
      <c r="AY9" s="13">
        <f>'Base de données indicateurs1'!AY19</f>
        <v>325987.86</v>
      </c>
      <c r="AZ9" s="13">
        <f>'Base de données indicateurs1'!AZ19</f>
        <v>1223041.23</v>
      </c>
      <c r="BA9" s="13">
        <f>'Base de données indicateurs1'!BA19</f>
        <v>298548.14</v>
      </c>
      <c r="BB9" s="13">
        <f>'Base de données indicateurs1'!BB19</f>
        <v>1044762</v>
      </c>
      <c r="BC9" s="13">
        <f>'Base de données indicateurs1'!BC19</f>
        <v>133647.04000000001</v>
      </c>
      <c r="BD9" s="13">
        <f>'Base de données indicateurs1'!BD19</f>
        <v>6892798.3700000001</v>
      </c>
      <c r="BE9" s="13">
        <f>'Base de données indicateurs1'!BE19</f>
        <v>561599.73</v>
      </c>
      <c r="BF9" s="13">
        <f t="shared" si="0"/>
        <v>50343411.010000005</v>
      </c>
      <c r="BG9" s="13">
        <f t="shared" si="1"/>
        <v>13570266.810000001</v>
      </c>
      <c r="BH9" s="13">
        <f t="shared" si="2"/>
        <v>23084404.959999997</v>
      </c>
    </row>
    <row r="10" spans="1:60" x14ac:dyDescent="0.2">
      <c r="A10" s="162" t="s">
        <v>278</v>
      </c>
      <c r="B10" s="163" t="s">
        <v>225</v>
      </c>
      <c r="C10" s="162">
        <v>3180</v>
      </c>
      <c r="D10" s="164">
        <f>'Base de données indicateurs1'!BF20</f>
        <v>790120.84999999974</v>
      </c>
      <c r="E10" s="13">
        <f>'Base de données indicateurs1'!E20</f>
        <v>0</v>
      </c>
      <c r="F10" s="13">
        <f>'Base de données indicateurs1'!F20</f>
        <v>2692.06</v>
      </c>
      <c r="G10" s="13">
        <f>'Base de données indicateurs1'!G20</f>
        <v>0</v>
      </c>
      <c r="H10" s="13">
        <f>'Base de données indicateurs1'!H20</f>
        <v>15620.9</v>
      </c>
      <c r="I10" s="13">
        <f>'Base de données indicateurs1'!I20</f>
        <v>187709</v>
      </c>
      <c r="J10" s="13">
        <f>'Base de données indicateurs1'!J20</f>
        <v>44000</v>
      </c>
      <c r="K10" s="13">
        <f>'Base de données indicateurs1'!K20</f>
        <v>18581.53</v>
      </c>
      <c r="L10" s="13">
        <f>'Base de données indicateurs1'!L20</f>
        <v>81600</v>
      </c>
      <c r="M10" s="13">
        <f>'Base de données indicateurs1'!M20</f>
        <v>-62631.44</v>
      </c>
      <c r="N10" s="13">
        <f>'Base de données indicateurs1'!N20</f>
        <v>220.12</v>
      </c>
      <c r="O10" s="13">
        <f>'Base de données indicateurs1'!O20</f>
        <v>-5525.2</v>
      </c>
      <c r="P10" s="13">
        <f>'Base de données indicateurs1'!P20</f>
        <v>0</v>
      </c>
      <c r="Q10" s="13">
        <f>'Base de données indicateurs1'!Q20</f>
        <v>0</v>
      </c>
      <c r="R10" s="13">
        <f>'Base de données indicateurs1'!R20</f>
        <v>24954</v>
      </c>
      <c r="S10" s="13">
        <f>'Base de données indicateurs1'!S20</f>
        <v>8047.83</v>
      </c>
      <c r="T10" s="13">
        <f>'Base de données indicateurs1'!T20</f>
        <v>25714.14</v>
      </c>
      <c r="U10" s="13">
        <f>'Base de données indicateurs1'!U20</f>
        <v>14019.23</v>
      </c>
      <c r="V10" s="13">
        <f>'Base de données indicateurs1'!V20</f>
        <v>16039.05</v>
      </c>
      <c r="W10" s="13">
        <f>'Base de données indicateurs1'!W20</f>
        <v>-39543.160000000003</v>
      </c>
      <c r="X10" s="13">
        <f>'Base de données indicateurs1'!X20</f>
        <v>2557.1799999999998</v>
      </c>
      <c r="Y10" s="13">
        <f>'Base de données indicateurs1'!Y20</f>
        <v>47344.87</v>
      </c>
      <c r="Z10" s="13">
        <f>'Base de données indicateurs1'!Z20</f>
        <v>-6549.78</v>
      </c>
      <c r="AA10" s="13">
        <f>'Base de données indicateurs1'!AA20</f>
        <v>0</v>
      </c>
      <c r="AB10" s="13">
        <f>'Base de données indicateurs1'!AB20</f>
        <v>-1020.3</v>
      </c>
      <c r="AC10" s="13">
        <f>'Base de données indicateurs1'!AC20</f>
        <v>-15590</v>
      </c>
      <c r="AD10" s="13">
        <f>'Base de données indicateurs1'!AD20</f>
        <v>-11350</v>
      </c>
      <c r="AE10" s="13">
        <f>'Base de données indicateurs1'!AE20</f>
        <v>0</v>
      </c>
      <c r="AF10" s="13">
        <f>'Base de données indicateurs1'!AF20</f>
        <v>0</v>
      </c>
      <c r="AG10" s="13">
        <f>'Base de données indicateurs1'!AG20</f>
        <v>8840</v>
      </c>
      <c r="AH10" s="13">
        <f>'Base de données indicateurs1'!AH20</f>
        <v>6568.23</v>
      </c>
      <c r="AI10" s="13">
        <f>'Base de données indicateurs1'!AI20</f>
        <v>0</v>
      </c>
      <c r="AJ10" s="13">
        <f>'Base de données indicateurs1'!AJ20</f>
        <v>1252.95</v>
      </c>
      <c r="AK10" s="13">
        <f>'Base de données indicateurs1'!AK20</f>
        <v>7811.84</v>
      </c>
      <c r="AL10" s="13">
        <f>'Base de données indicateurs1'!AL20</f>
        <v>64795</v>
      </c>
      <c r="AM10" s="13">
        <f>'Base de données indicateurs1'!AM20</f>
        <v>-9565.39</v>
      </c>
      <c r="AN10" s="13">
        <f>'Base de données indicateurs1'!AN20</f>
        <v>58191.57</v>
      </c>
      <c r="AO10" s="13">
        <f>'Base de données indicateurs1'!AO20</f>
        <v>16523.66</v>
      </c>
      <c r="AP10" s="13">
        <f>'Base de données indicateurs1'!AP20</f>
        <v>4555.8500000000004</v>
      </c>
      <c r="AQ10" s="13">
        <f>'Base de données indicateurs1'!AQ20</f>
        <v>0</v>
      </c>
      <c r="AR10" s="13">
        <f>'Base de données indicateurs1'!AR20</f>
        <v>0</v>
      </c>
      <c r="AS10" s="13">
        <f>'Base de données indicateurs1'!AS20</f>
        <v>16890.650000000001</v>
      </c>
      <c r="AT10" s="13">
        <f>'Base de données indicateurs1'!AT20</f>
        <v>46206.47</v>
      </c>
      <c r="AU10" s="13">
        <f>'Base de données indicateurs1'!AU20</f>
        <v>0</v>
      </c>
      <c r="AV10" s="13">
        <f>'Base de données indicateurs1'!AV20</f>
        <v>44488.95</v>
      </c>
      <c r="AW10" s="13">
        <f>'Base de données indicateurs1'!AW20</f>
        <v>16586.45</v>
      </c>
      <c r="AX10" s="13">
        <f>'Base de données indicateurs1'!AX20</f>
        <v>-1848.31</v>
      </c>
      <c r="AY10" s="13">
        <f>'Base de données indicateurs1'!AY20</f>
        <v>42060.61</v>
      </c>
      <c r="AZ10" s="13">
        <f>'Base de données indicateurs1'!AZ20</f>
        <v>94265.52</v>
      </c>
      <c r="BA10" s="13">
        <f>'Base de données indicateurs1'!BA20</f>
        <v>1841.6</v>
      </c>
      <c r="BB10" s="13">
        <f>'Base de données indicateurs1'!BB20</f>
        <v>14870</v>
      </c>
      <c r="BC10" s="13">
        <f>'Base de données indicateurs1'!BC20</f>
        <v>4056.4</v>
      </c>
      <c r="BD10" s="13">
        <f>'Base de données indicateurs1'!BD20</f>
        <v>0</v>
      </c>
      <c r="BE10" s="13">
        <f>'Base de données indicateurs1'!BE20</f>
        <v>4838.7700000000004</v>
      </c>
      <c r="BF10" s="13">
        <f t="shared" si="0"/>
        <v>331498.05999999994</v>
      </c>
      <c r="BG10" s="13">
        <f t="shared" si="1"/>
        <v>32053.15</v>
      </c>
      <c r="BH10" s="13">
        <f t="shared" si="2"/>
        <v>426569.64</v>
      </c>
    </row>
    <row r="11" spans="1:60" x14ac:dyDescent="0.2">
      <c r="A11" s="162" t="s">
        <v>100</v>
      </c>
      <c r="B11" s="163" t="s">
        <v>224</v>
      </c>
      <c r="C11" s="162">
        <v>34</v>
      </c>
      <c r="D11" s="164">
        <f>'Base de données indicateurs1'!BF22</f>
        <v>8261031.5800000001</v>
      </c>
      <c r="E11" s="13">
        <f>'Base de données indicateurs1'!E22</f>
        <v>54405.36</v>
      </c>
      <c r="F11" s="13">
        <f>'Base de données indicateurs1'!F22</f>
        <v>124634.59</v>
      </c>
      <c r="G11" s="13">
        <f>'Base de données indicateurs1'!G22</f>
        <v>74666.789999999994</v>
      </c>
      <c r="H11" s="13">
        <f>'Base de données indicateurs1'!H22</f>
        <v>80672.25</v>
      </c>
      <c r="I11" s="13">
        <f>'Base de données indicateurs1'!I22</f>
        <v>457925</v>
      </c>
      <c r="J11" s="13">
        <f>'Base de données indicateurs1'!J22</f>
        <v>209906.22</v>
      </c>
      <c r="K11" s="13">
        <f>'Base de données indicateurs1'!K22</f>
        <v>204760.07</v>
      </c>
      <c r="L11" s="13">
        <f>'Base de données indicateurs1'!L22</f>
        <v>2157423.0699999998</v>
      </c>
      <c r="M11" s="13">
        <f>'Base de données indicateurs1'!M22</f>
        <v>51006.45</v>
      </c>
      <c r="N11" s="13">
        <f>'Base de données indicateurs1'!N22</f>
        <v>7268.05</v>
      </c>
      <c r="O11" s="13">
        <f>'Base de données indicateurs1'!O22</f>
        <v>371651.81</v>
      </c>
      <c r="P11" s="13">
        <f>'Base de données indicateurs1'!P22</f>
        <v>47649.2</v>
      </c>
      <c r="Q11" s="13">
        <f>'Base de données indicateurs1'!Q22</f>
        <v>10466.73</v>
      </c>
      <c r="R11" s="13">
        <f>'Base de données indicateurs1'!R22</f>
        <v>162004.76</v>
      </c>
      <c r="S11" s="13">
        <f>'Base de données indicateurs1'!S22</f>
        <v>65863.97</v>
      </c>
      <c r="T11" s="13">
        <f>'Base de données indicateurs1'!T22</f>
        <v>54609.120000000003</v>
      </c>
      <c r="U11" s="13">
        <f>'Base de données indicateurs1'!U22</f>
        <v>15435.36</v>
      </c>
      <c r="V11" s="13">
        <f>'Base de données indicateurs1'!V22</f>
        <v>46259.69</v>
      </c>
      <c r="W11" s="13">
        <f>'Base de données indicateurs1'!W22</f>
        <v>185479.62</v>
      </c>
      <c r="X11" s="13">
        <f>'Base de données indicateurs1'!X22</f>
        <v>12266.06</v>
      </c>
      <c r="Y11" s="13">
        <f>'Base de données indicateurs1'!Y22</f>
        <v>128326.63</v>
      </c>
      <c r="Z11" s="13">
        <f>'Base de données indicateurs1'!Z22</f>
        <v>16932.63</v>
      </c>
      <c r="AA11" s="13">
        <f>'Base de données indicateurs1'!AA22</f>
        <v>5514.82</v>
      </c>
      <c r="AB11" s="13">
        <f>'Base de données indicateurs1'!AB22</f>
        <v>14317.32</v>
      </c>
      <c r="AC11" s="13">
        <f>'Base de données indicateurs1'!AC22</f>
        <v>78531.81</v>
      </c>
      <c r="AD11" s="13">
        <f>'Base de données indicateurs1'!AD22</f>
        <v>67634.100000000006</v>
      </c>
      <c r="AE11" s="13">
        <f>'Base de données indicateurs1'!AE22</f>
        <v>35078.6</v>
      </c>
      <c r="AF11" s="13">
        <f>'Base de données indicateurs1'!AF22</f>
        <v>88799.25</v>
      </c>
      <c r="AG11" s="13">
        <f>'Base de données indicateurs1'!AG22</f>
        <v>93141.09</v>
      </c>
      <c r="AH11" s="13">
        <f>'Base de données indicateurs1'!AH22</f>
        <v>154152.78</v>
      </c>
      <c r="AI11" s="13">
        <f>'Base de données indicateurs1'!AI22</f>
        <v>0</v>
      </c>
      <c r="AJ11" s="13">
        <f>'Base de données indicateurs1'!AJ22</f>
        <v>34807.03</v>
      </c>
      <c r="AK11" s="13">
        <f>'Base de données indicateurs1'!AK22</f>
        <v>176338.6</v>
      </c>
      <c r="AL11" s="13">
        <f>'Base de données indicateurs1'!AL22</f>
        <v>185132</v>
      </c>
      <c r="AM11" s="13">
        <f>'Base de données indicateurs1'!AM22</f>
        <v>151615.21</v>
      </c>
      <c r="AN11" s="13">
        <f>'Base de données indicateurs1'!AN22</f>
        <v>20422.02</v>
      </c>
      <c r="AO11" s="13">
        <f>'Base de données indicateurs1'!AO22</f>
        <v>210279.28</v>
      </c>
      <c r="AP11" s="13">
        <f>'Base de données indicateurs1'!AP22</f>
        <v>82884.320000000007</v>
      </c>
      <c r="AQ11" s="13">
        <f>'Base de données indicateurs1'!AQ22</f>
        <v>60050</v>
      </c>
      <c r="AR11" s="13">
        <f>'Base de données indicateurs1'!AR22</f>
        <v>257738.71</v>
      </c>
      <c r="AS11" s="13">
        <f>'Base de données indicateurs1'!AS22</f>
        <v>76242.42</v>
      </c>
      <c r="AT11" s="13">
        <f>'Base de données indicateurs1'!AT22</f>
        <v>152631.87</v>
      </c>
      <c r="AU11" s="13">
        <f>'Base de données indicateurs1'!AU22</f>
        <v>22266.65</v>
      </c>
      <c r="AV11" s="13">
        <f>'Base de données indicateurs1'!AV22</f>
        <v>190311.65</v>
      </c>
      <c r="AW11" s="13">
        <f>'Base de données indicateurs1'!AW22</f>
        <v>75363.41</v>
      </c>
      <c r="AX11" s="13">
        <f>'Base de données indicateurs1'!AX22</f>
        <v>8184.15</v>
      </c>
      <c r="AY11" s="13">
        <f>'Base de données indicateurs1'!AY22</f>
        <v>14484.84</v>
      </c>
      <c r="AZ11" s="13">
        <f>'Base de données indicateurs1'!AZ22</f>
        <v>293334.28999999998</v>
      </c>
      <c r="BA11" s="13">
        <f>'Base de données indicateurs1'!BA22</f>
        <v>23926.76</v>
      </c>
      <c r="BB11" s="13">
        <f>'Base de données indicateurs1'!BB22</f>
        <v>110268</v>
      </c>
      <c r="BC11" s="13">
        <f>'Base de données indicateurs1'!BC22</f>
        <v>629.9</v>
      </c>
      <c r="BD11" s="13">
        <f>'Base de données indicateurs1'!BD22</f>
        <v>979043.6</v>
      </c>
      <c r="BE11" s="13">
        <f>'Base de données indicateurs1'!BE22</f>
        <v>58293.67</v>
      </c>
      <c r="BF11" s="13">
        <f t="shared" si="0"/>
        <v>4382088.1100000003</v>
      </c>
      <c r="BG11" s="13">
        <f t="shared" si="1"/>
        <v>729502.12</v>
      </c>
      <c r="BH11" s="13">
        <f t="shared" si="2"/>
        <v>3149441.3499999996</v>
      </c>
    </row>
    <row r="12" spans="1:60" x14ac:dyDescent="0.2">
      <c r="A12" s="162" t="s">
        <v>105</v>
      </c>
      <c r="B12" s="163" t="s">
        <v>225</v>
      </c>
      <c r="C12" s="162">
        <v>344</v>
      </c>
      <c r="D12" s="164">
        <f>'Base de données indicateurs1'!BF24</f>
        <v>179028.89</v>
      </c>
      <c r="E12" s="13">
        <f>'Base de données indicateurs1'!E24</f>
        <v>0</v>
      </c>
      <c r="F12" s="13">
        <f>'Base de données indicateurs1'!F24</f>
        <v>87320</v>
      </c>
      <c r="G12" s="13">
        <f>'Base de données indicateurs1'!G24</f>
        <v>0</v>
      </c>
      <c r="H12" s="13">
        <f>'Base de données indicateurs1'!H24</f>
        <v>0</v>
      </c>
      <c r="I12" s="13">
        <f>'Base de données indicateurs1'!I24</f>
        <v>0</v>
      </c>
      <c r="J12" s="13">
        <f>'Base de données indicateurs1'!J24</f>
        <v>0</v>
      </c>
      <c r="K12" s="13">
        <f>'Base de données indicateurs1'!K24</f>
        <v>790.64</v>
      </c>
      <c r="L12" s="13">
        <f>'Base de données indicateurs1'!L24</f>
        <v>0</v>
      </c>
      <c r="M12" s="13">
        <f>'Base de données indicateurs1'!M24</f>
        <v>0</v>
      </c>
      <c r="N12" s="13">
        <f>'Base de données indicateurs1'!N24</f>
        <v>0</v>
      </c>
      <c r="O12" s="13">
        <f>'Base de données indicateurs1'!O24</f>
        <v>0</v>
      </c>
      <c r="P12" s="13">
        <f>'Base de données indicateurs1'!P24</f>
        <v>0</v>
      </c>
      <c r="Q12" s="13">
        <f>'Base de données indicateurs1'!Q24</f>
        <v>0</v>
      </c>
      <c r="R12" s="13">
        <f>'Base de données indicateurs1'!R24</f>
        <v>0</v>
      </c>
      <c r="S12" s="13">
        <f>'Base de données indicateurs1'!S24</f>
        <v>0</v>
      </c>
      <c r="T12" s="13">
        <f>'Base de données indicateurs1'!T24</f>
        <v>920.25</v>
      </c>
      <c r="U12" s="13">
        <f>'Base de données indicateurs1'!U24</f>
        <v>0</v>
      </c>
      <c r="V12" s="13">
        <f>'Base de données indicateurs1'!V24</f>
        <v>0</v>
      </c>
      <c r="W12" s="13">
        <f>'Base de données indicateurs1'!W24</f>
        <v>0</v>
      </c>
      <c r="X12" s="13">
        <f>'Base de données indicateurs1'!X24</f>
        <v>0</v>
      </c>
      <c r="Y12" s="13">
        <f>'Base de données indicateurs1'!Y24</f>
        <v>0</v>
      </c>
      <c r="Z12" s="13">
        <f>'Base de données indicateurs1'!Z24</f>
        <v>0</v>
      </c>
      <c r="AA12" s="13">
        <f>'Base de données indicateurs1'!AA24</f>
        <v>0</v>
      </c>
      <c r="AB12" s="13">
        <f>'Base de données indicateurs1'!AB24</f>
        <v>0</v>
      </c>
      <c r="AC12" s="13">
        <f>'Base de données indicateurs1'!AC24</f>
        <v>0</v>
      </c>
      <c r="AD12" s="13">
        <f>'Base de données indicateurs1'!AD24</f>
        <v>0</v>
      </c>
      <c r="AE12" s="13">
        <f>'Base de données indicateurs1'!AE24</f>
        <v>0</v>
      </c>
      <c r="AF12" s="13">
        <f>'Base de données indicateurs1'!AF24</f>
        <v>0</v>
      </c>
      <c r="AG12" s="13">
        <f>'Base de données indicateurs1'!AG24</f>
        <v>0</v>
      </c>
      <c r="AH12" s="13">
        <f>'Base de données indicateurs1'!AH24</f>
        <v>0</v>
      </c>
      <c r="AI12" s="13">
        <f>'Base de données indicateurs1'!AI24</f>
        <v>0</v>
      </c>
      <c r="AJ12" s="13">
        <f>'Base de données indicateurs1'!AJ24</f>
        <v>3103</v>
      </c>
      <c r="AK12" s="13">
        <f>'Base de données indicateurs1'!AK24</f>
        <v>0</v>
      </c>
      <c r="AL12" s="13">
        <f>'Base de données indicateurs1'!AL24</f>
        <v>0</v>
      </c>
      <c r="AM12" s="13">
        <f>'Base de données indicateurs1'!AM24</f>
        <v>0</v>
      </c>
      <c r="AN12" s="13">
        <f>'Base de données indicateurs1'!AN24</f>
        <v>0</v>
      </c>
      <c r="AO12" s="13">
        <f>'Base de données indicateurs1'!AO24</f>
        <v>0</v>
      </c>
      <c r="AP12" s="13">
        <f>'Base de données indicateurs1'!AP24</f>
        <v>0</v>
      </c>
      <c r="AQ12" s="13">
        <f>'Base de données indicateurs1'!AQ24</f>
        <v>0</v>
      </c>
      <c r="AR12" s="13">
        <f>'Base de données indicateurs1'!AR24</f>
        <v>0</v>
      </c>
      <c r="AS12" s="13">
        <f>'Base de données indicateurs1'!AS24</f>
        <v>0</v>
      </c>
      <c r="AT12" s="13">
        <f>'Base de données indicateurs1'!AT24</f>
        <v>0</v>
      </c>
      <c r="AU12" s="13">
        <f>'Base de données indicateurs1'!AU24</f>
        <v>0</v>
      </c>
      <c r="AV12" s="13">
        <f>'Base de données indicateurs1'!AV24</f>
        <v>0</v>
      </c>
      <c r="AW12" s="13">
        <f>'Base de données indicateurs1'!AW24</f>
        <v>0</v>
      </c>
      <c r="AX12" s="13">
        <f>'Base de données indicateurs1'!AX24</f>
        <v>0</v>
      </c>
      <c r="AY12" s="13">
        <f>'Base de données indicateurs1'!AY24</f>
        <v>0</v>
      </c>
      <c r="AZ12" s="13">
        <f>'Base de données indicateurs1'!AZ24</f>
        <v>0</v>
      </c>
      <c r="BA12" s="13">
        <f>'Base de données indicateurs1'!BA24</f>
        <v>0</v>
      </c>
      <c r="BB12" s="13">
        <f>'Base de données indicateurs1'!BB24</f>
        <v>2418</v>
      </c>
      <c r="BC12" s="13">
        <f>'Base de données indicateurs1'!BC24</f>
        <v>0</v>
      </c>
      <c r="BD12" s="13">
        <f>'Base de données indicateurs1'!BD24</f>
        <v>84477</v>
      </c>
      <c r="BE12" s="13">
        <f>'Base de données indicateurs1'!BE24</f>
        <v>0</v>
      </c>
      <c r="BF12" s="13">
        <f t="shared" si="0"/>
        <v>89030.89</v>
      </c>
      <c r="BG12" s="13">
        <f t="shared" si="1"/>
        <v>3103</v>
      </c>
      <c r="BH12" s="13">
        <f t="shared" si="2"/>
        <v>86895</v>
      </c>
    </row>
    <row r="13" spans="1:60" x14ac:dyDescent="0.2">
      <c r="A13" s="162" t="s">
        <v>285</v>
      </c>
      <c r="B13" s="163" t="s">
        <v>224</v>
      </c>
      <c r="C13" s="162">
        <v>36</v>
      </c>
      <c r="D13" s="164">
        <f>'Base de données indicateurs1'!BF26</f>
        <v>196468618.55999991</v>
      </c>
      <c r="E13" s="13">
        <f>'Base de données indicateurs1'!E26</f>
        <v>2335972.77</v>
      </c>
      <c r="F13" s="13">
        <f>'Base de données indicateurs1'!F26</f>
        <v>715593.75</v>
      </c>
      <c r="G13" s="13">
        <f>'Base de données indicateurs1'!G26</f>
        <v>1029040.39</v>
      </c>
      <c r="H13" s="13">
        <f>'Base de données indicateurs1'!H26</f>
        <v>1038611.89</v>
      </c>
      <c r="I13" s="13">
        <f>'Base de données indicateurs1'!I26</f>
        <v>7564693</v>
      </c>
      <c r="J13" s="13">
        <f>'Base de données indicateurs1'!J26</f>
        <v>6645093.4699999997</v>
      </c>
      <c r="K13" s="13">
        <f>'Base de données indicateurs1'!K26</f>
        <v>6799431.96</v>
      </c>
      <c r="L13" s="13">
        <f>'Base de données indicateurs1'!L26</f>
        <v>42498373.259999998</v>
      </c>
      <c r="M13" s="13">
        <f>'Base de données indicateurs1'!M26</f>
        <v>3698764.96</v>
      </c>
      <c r="N13" s="13">
        <f>'Base de données indicateurs1'!N26</f>
        <v>226310.37</v>
      </c>
      <c r="O13" s="13">
        <f>'Base de données indicateurs1'!O26</f>
        <v>16520054.24</v>
      </c>
      <c r="P13" s="13">
        <f>'Base de données indicateurs1'!P26</f>
        <v>1163642.27</v>
      </c>
      <c r="Q13" s="13">
        <f>'Base de données indicateurs1'!Q26</f>
        <v>238741.24</v>
      </c>
      <c r="R13" s="13">
        <f>'Base de données indicateurs1'!R26</f>
        <v>826271.54</v>
      </c>
      <c r="S13" s="13">
        <f>'Base de données indicateurs1'!S26</f>
        <v>730027.09</v>
      </c>
      <c r="T13" s="13">
        <f>'Base de données indicateurs1'!T26</f>
        <v>1804506.91</v>
      </c>
      <c r="U13" s="13">
        <f>'Base de données indicateurs1'!U26</f>
        <v>622173.63</v>
      </c>
      <c r="V13" s="13">
        <f>'Base de données indicateurs1'!V26</f>
        <v>1224964.3600000001</v>
      </c>
      <c r="W13" s="13">
        <f>'Base de données indicateurs1'!W26</f>
        <v>6272146.9100000001</v>
      </c>
      <c r="X13" s="13">
        <f>'Base de données indicateurs1'!X26</f>
        <v>689609.38</v>
      </c>
      <c r="Y13" s="13">
        <f>'Base de données indicateurs1'!Y26</f>
        <v>2903047.11</v>
      </c>
      <c r="Z13" s="13">
        <f>'Base de données indicateurs1'!Z26</f>
        <v>6938807.3799999999</v>
      </c>
      <c r="AA13" s="13">
        <f>'Base de données indicateurs1'!AA26</f>
        <v>201028.64</v>
      </c>
      <c r="AB13" s="13">
        <f>'Base de données indicateurs1'!AB26</f>
        <v>365964.76</v>
      </c>
      <c r="AC13" s="13">
        <f>'Base de données indicateurs1'!AC26</f>
        <v>1307318.8600000001</v>
      </c>
      <c r="AD13" s="13">
        <f>'Base de données indicateurs1'!AD26</f>
        <v>1891180.97</v>
      </c>
      <c r="AE13" s="13">
        <f>'Base de données indicateurs1'!AE26</f>
        <v>1223639.25</v>
      </c>
      <c r="AF13" s="13">
        <f>'Base de données indicateurs1'!AF26</f>
        <v>1362614.12</v>
      </c>
      <c r="AG13" s="13">
        <f>'Base de données indicateurs1'!AG26</f>
        <v>5046760.97</v>
      </c>
      <c r="AH13" s="13">
        <f>'Base de données indicateurs1'!AH26</f>
        <v>5912975.6200000001</v>
      </c>
      <c r="AI13" s="13">
        <f>'Base de données indicateurs1'!AI26</f>
        <v>506846</v>
      </c>
      <c r="AJ13" s="13">
        <f>'Base de données indicateurs1'!AJ26</f>
        <v>339764.56</v>
      </c>
      <c r="AK13" s="13">
        <f>'Base de données indicateurs1'!AK26</f>
        <v>5018555.8600000003</v>
      </c>
      <c r="AL13" s="13">
        <f>'Base de données indicateurs1'!AL26</f>
        <v>2724352</v>
      </c>
      <c r="AM13" s="13">
        <f>'Base de données indicateurs1'!AM26</f>
        <v>3063225.96</v>
      </c>
      <c r="AN13" s="13">
        <f>'Base de données indicateurs1'!AN26</f>
        <v>263832.40000000002</v>
      </c>
      <c r="AO13" s="13">
        <f>'Base de données indicateurs1'!AO26</f>
        <v>3922643.6</v>
      </c>
      <c r="AP13" s="13">
        <f>'Base de données indicateurs1'!AP26</f>
        <v>1932909.42</v>
      </c>
      <c r="AQ13" s="13">
        <f>'Base de données indicateurs1'!AQ26</f>
        <v>1532253</v>
      </c>
      <c r="AR13" s="13">
        <f>'Base de données indicateurs1'!AR26</f>
        <v>3097346.57</v>
      </c>
      <c r="AS13" s="13">
        <f>'Base de données indicateurs1'!AS26</f>
        <v>1931105.75</v>
      </c>
      <c r="AT13" s="13">
        <f>'Base de données indicateurs1'!AT26</f>
        <v>2589642.35</v>
      </c>
      <c r="AU13" s="13">
        <f>'Base de données indicateurs1'!AU26</f>
        <v>1107211.42</v>
      </c>
      <c r="AV13" s="13">
        <f>'Base de données indicateurs1'!AV26</f>
        <v>6527264.6500000004</v>
      </c>
      <c r="AW13" s="13">
        <f>'Base de données indicateurs1'!AW26</f>
        <v>1760269.63</v>
      </c>
      <c r="AX13" s="13">
        <f>'Base de données indicateurs1'!AX26</f>
        <v>511957.8</v>
      </c>
      <c r="AY13" s="13">
        <f>'Base de données indicateurs1'!AY26</f>
        <v>728639.7</v>
      </c>
      <c r="AZ13" s="13">
        <f>'Base de données indicateurs1'!AZ26</f>
        <v>3890372.64</v>
      </c>
      <c r="BA13" s="13">
        <f>'Base de données indicateurs1'!BA26</f>
        <v>974904.38</v>
      </c>
      <c r="BB13" s="13">
        <f>'Base de données indicateurs1'!BB26</f>
        <v>2631979</v>
      </c>
      <c r="BC13" s="13">
        <f>'Base de données indicateurs1'!BC26</f>
        <v>552226.14</v>
      </c>
      <c r="BD13" s="13">
        <f>'Base de données indicateurs1'!BD26</f>
        <v>19586888.559999999</v>
      </c>
      <c r="BE13" s="13">
        <f>'Base de données indicateurs1'!BE26</f>
        <v>1477066.1</v>
      </c>
      <c r="BF13" s="13">
        <f t="shared" si="0"/>
        <v>101954414.00999998</v>
      </c>
      <c r="BG13" s="13">
        <f t="shared" si="1"/>
        <v>28689557.619999997</v>
      </c>
      <c r="BH13" s="13">
        <f t="shared" si="2"/>
        <v>65824646.930000015</v>
      </c>
    </row>
    <row r="14" spans="1:60" x14ac:dyDescent="0.2">
      <c r="A14" s="162" t="s">
        <v>527</v>
      </c>
      <c r="B14" s="163" t="s">
        <v>225</v>
      </c>
      <c r="C14" s="162">
        <v>364</v>
      </c>
      <c r="D14" s="164">
        <f>'Base de données indicateurs1'!BF29</f>
        <v>0</v>
      </c>
      <c r="E14" s="13">
        <f>'Base de données indicateurs1'!E29</f>
        <v>0</v>
      </c>
      <c r="F14" s="13">
        <f>'Base de données indicateurs1'!F29</f>
        <v>0</v>
      </c>
      <c r="G14" s="13">
        <f>'Base de données indicateurs1'!G29</f>
        <v>0</v>
      </c>
      <c r="H14" s="13">
        <f>'Base de données indicateurs1'!H29</f>
        <v>0</v>
      </c>
      <c r="I14" s="13">
        <f>'Base de données indicateurs1'!I29</f>
        <v>0</v>
      </c>
      <c r="J14" s="13">
        <f>'Base de données indicateurs1'!J29</f>
        <v>0</v>
      </c>
      <c r="K14" s="13">
        <f>'Base de données indicateurs1'!K29</f>
        <v>0</v>
      </c>
      <c r="L14" s="13">
        <f>'Base de données indicateurs1'!L29</f>
        <v>0</v>
      </c>
      <c r="M14" s="13">
        <f>'Base de données indicateurs1'!M29</f>
        <v>0</v>
      </c>
      <c r="N14" s="13">
        <f>'Base de données indicateurs1'!N29</f>
        <v>0</v>
      </c>
      <c r="O14" s="13">
        <f>'Base de données indicateurs1'!O29</f>
        <v>0</v>
      </c>
      <c r="P14" s="13">
        <f>'Base de données indicateurs1'!P29</f>
        <v>0</v>
      </c>
      <c r="Q14" s="13">
        <f>'Base de données indicateurs1'!Q29</f>
        <v>0</v>
      </c>
      <c r="R14" s="13">
        <f>'Base de données indicateurs1'!R29</f>
        <v>0</v>
      </c>
      <c r="S14" s="13">
        <f>'Base de données indicateurs1'!S29</f>
        <v>0</v>
      </c>
      <c r="T14" s="13">
        <f>'Base de données indicateurs1'!T29</f>
        <v>0</v>
      </c>
      <c r="U14" s="13">
        <f>'Base de données indicateurs1'!U29</f>
        <v>0</v>
      </c>
      <c r="V14" s="13">
        <f>'Base de données indicateurs1'!V29</f>
        <v>0</v>
      </c>
      <c r="W14" s="13">
        <f>'Base de données indicateurs1'!W29</f>
        <v>0</v>
      </c>
      <c r="X14" s="13">
        <f>'Base de données indicateurs1'!X29</f>
        <v>0</v>
      </c>
      <c r="Y14" s="13">
        <f>'Base de données indicateurs1'!Y29</f>
        <v>0</v>
      </c>
      <c r="Z14" s="13">
        <f>'Base de données indicateurs1'!Z29</f>
        <v>0</v>
      </c>
      <c r="AA14" s="13">
        <f>'Base de données indicateurs1'!AA29</f>
        <v>0</v>
      </c>
      <c r="AB14" s="13">
        <f>'Base de données indicateurs1'!AB29</f>
        <v>0</v>
      </c>
      <c r="AC14" s="13">
        <f>'Base de données indicateurs1'!AC29</f>
        <v>0</v>
      </c>
      <c r="AD14" s="13">
        <f>'Base de données indicateurs1'!AD29</f>
        <v>0</v>
      </c>
      <c r="AE14" s="13">
        <f>'Base de données indicateurs1'!AE29</f>
        <v>0</v>
      </c>
      <c r="AF14" s="13">
        <f>'Base de données indicateurs1'!AF29</f>
        <v>0</v>
      </c>
      <c r="AG14" s="13">
        <f>'Base de données indicateurs1'!AG29</f>
        <v>0</v>
      </c>
      <c r="AH14" s="13">
        <f>'Base de données indicateurs1'!AH29</f>
        <v>0</v>
      </c>
      <c r="AI14" s="13">
        <f>'Base de données indicateurs1'!AI29</f>
        <v>0</v>
      </c>
      <c r="AJ14" s="13">
        <f>'Base de données indicateurs1'!AJ29</f>
        <v>0</v>
      </c>
      <c r="AK14" s="13">
        <f>'Base de données indicateurs1'!AK29</f>
        <v>0</v>
      </c>
      <c r="AL14" s="13">
        <f>'Base de données indicateurs1'!AL29</f>
        <v>0</v>
      </c>
      <c r="AM14" s="13">
        <f>'Base de données indicateurs1'!AM29</f>
        <v>0</v>
      </c>
      <c r="AN14" s="13">
        <f>'Base de données indicateurs1'!AN29</f>
        <v>0</v>
      </c>
      <c r="AO14" s="13">
        <f>'Base de données indicateurs1'!AO29</f>
        <v>0</v>
      </c>
      <c r="AP14" s="13">
        <f>'Base de données indicateurs1'!AP29</f>
        <v>0</v>
      </c>
      <c r="AQ14" s="13">
        <f>'Base de données indicateurs1'!AQ29</f>
        <v>0</v>
      </c>
      <c r="AR14" s="13">
        <f>'Base de données indicateurs1'!AR29</f>
        <v>0</v>
      </c>
      <c r="AS14" s="13">
        <f>'Base de données indicateurs1'!AS29</f>
        <v>0</v>
      </c>
      <c r="AT14" s="13">
        <f>'Base de données indicateurs1'!AT29</f>
        <v>0</v>
      </c>
      <c r="AU14" s="13">
        <f>'Base de données indicateurs1'!AU29</f>
        <v>0</v>
      </c>
      <c r="AV14" s="13">
        <f>'Base de données indicateurs1'!AV29</f>
        <v>0</v>
      </c>
      <c r="AW14" s="13">
        <f>'Base de données indicateurs1'!AW29</f>
        <v>0</v>
      </c>
      <c r="AX14" s="13">
        <f>'Base de données indicateurs1'!AX29</f>
        <v>0</v>
      </c>
      <c r="AY14" s="13">
        <f>'Base de données indicateurs1'!AY29</f>
        <v>0</v>
      </c>
      <c r="AZ14" s="13">
        <f>'Base de données indicateurs1'!AZ29</f>
        <v>0</v>
      </c>
      <c r="BA14" s="13">
        <f>'Base de données indicateurs1'!BA29</f>
        <v>0</v>
      </c>
      <c r="BB14" s="13">
        <f>'Base de données indicateurs1'!BB29</f>
        <v>0</v>
      </c>
      <c r="BC14" s="13">
        <f>'Base de données indicateurs1'!BC29</f>
        <v>0</v>
      </c>
      <c r="BD14" s="13">
        <f>'Base de données indicateurs1'!BD29</f>
        <v>0</v>
      </c>
      <c r="BE14" s="13">
        <f>'Base de données indicateurs1'!BE29</f>
        <v>0</v>
      </c>
      <c r="BF14" s="13">
        <f t="shared" si="0"/>
        <v>0</v>
      </c>
      <c r="BG14" s="13">
        <f t="shared" si="1"/>
        <v>0</v>
      </c>
      <c r="BH14" s="13">
        <f t="shared" si="2"/>
        <v>0</v>
      </c>
    </row>
    <row r="15" spans="1:60" x14ac:dyDescent="0.2">
      <c r="A15" s="162" t="s">
        <v>115</v>
      </c>
      <c r="B15" s="163" t="s">
        <v>225</v>
      </c>
      <c r="C15" s="170">
        <v>365</v>
      </c>
      <c r="D15" s="164">
        <f>'Base de données indicateurs1'!BF30</f>
        <v>21100</v>
      </c>
      <c r="E15" s="13">
        <f>'Base de données indicateurs1'!E30</f>
        <v>0</v>
      </c>
      <c r="F15" s="13">
        <f>'Base de données indicateurs1'!F30</f>
        <v>0</v>
      </c>
      <c r="G15" s="13">
        <f>'Base de données indicateurs1'!G30</f>
        <v>0</v>
      </c>
      <c r="H15" s="13">
        <f>'Base de données indicateurs1'!H30</f>
        <v>0</v>
      </c>
      <c r="I15" s="13">
        <f>'Base de données indicateurs1'!I30</f>
        <v>0</v>
      </c>
      <c r="J15" s="13">
        <f>'Base de données indicateurs1'!J30</f>
        <v>0</v>
      </c>
      <c r="K15" s="13">
        <f>'Base de données indicateurs1'!K30</f>
        <v>0</v>
      </c>
      <c r="L15" s="13">
        <f>'Base de données indicateurs1'!L30</f>
        <v>0</v>
      </c>
      <c r="M15" s="13">
        <f>'Base de données indicateurs1'!M30</f>
        <v>0</v>
      </c>
      <c r="N15" s="13">
        <f>'Base de données indicateurs1'!N30</f>
        <v>0</v>
      </c>
      <c r="O15" s="13">
        <f>'Base de données indicateurs1'!O30</f>
        <v>0</v>
      </c>
      <c r="P15" s="13">
        <f>'Base de données indicateurs1'!P30</f>
        <v>0</v>
      </c>
      <c r="Q15" s="13">
        <f>'Base de données indicateurs1'!Q30</f>
        <v>0</v>
      </c>
      <c r="R15" s="13">
        <f>'Base de données indicateurs1'!R30</f>
        <v>0</v>
      </c>
      <c r="S15" s="13">
        <f>'Base de données indicateurs1'!S30</f>
        <v>0</v>
      </c>
      <c r="T15" s="13">
        <f>'Base de données indicateurs1'!T30</f>
        <v>0</v>
      </c>
      <c r="U15" s="13">
        <f>'Base de données indicateurs1'!U30</f>
        <v>8100</v>
      </c>
      <c r="V15" s="13">
        <f>'Base de données indicateurs1'!V30</f>
        <v>0</v>
      </c>
      <c r="W15" s="13">
        <f>'Base de données indicateurs1'!W30</f>
        <v>0</v>
      </c>
      <c r="X15" s="13">
        <f>'Base de données indicateurs1'!X30</f>
        <v>0</v>
      </c>
      <c r="Y15" s="13">
        <f>'Base de données indicateurs1'!Y30</f>
        <v>0</v>
      </c>
      <c r="Z15" s="13">
        <f>'Base de données indicateurs1'!Z30</f>
        <v>0</v>
      </c>
      <c r="AA15" s="13">
        <f>'Base de données indicateurs1'!AA30</f>
        <v>0</v>
      </c>
      <c r="AB15" s="13">
        <f>'Base de données indicateurs1'!AB30</f>
        <v>0</v>
      </c>
      <c r="AC15" s="13">
        <f>'Base de données indicateurs1'!AC30</f>
        <v>0</v>
      </c>
      <c r="AD15" s="13">
        <f>'Base de données indicateurs1'!AD30</f>
        <v>0</v>
      </c>
      <c r="AE15" s="13">
        <f>'Base de données indicateurs1'!AE30</f>
        <v>0</v>
      </c>
      <c r="AF15" s="13">
        <f>'Base de données indicateurs1'!AF30</f>
        <v>0</v>
      </c>
      <c r="AG15" s="13">
        <f>'Base de données indicateurs1'!AG30</f>
        <v>0</v>
      </c>
      <c r="AH15" s="13">
        <f>'Base de données indicateurs1'!AH30</f>
        <v>0</v>
      </c>
      <c r="AI15" s="13">
        <f>'Base de données indicateurs1'!AI30</f>
        <v>0</v>
      </c>
      <c r="AJ15" s="13">
        <f>'Base de données indicateurs1'!AJ30</f>
        <v>0</v>
      </c>
      <c r="AK15" s="13">
        <f>'Base de données indicateurs1'!AK30</f>
        <v>0</v>
      </c>
      <c r="AL15" s="13">
        <f>'Base de données indicateurs1'!AL30</f>
        <v>0</v>
      </c>
      <c r="AM15" s="13">
        <f>'Base de données indicateurs1'!AM30</f>
        <v>0</v>
      </c>
      <c r="AN15" s="13">
        <f>'Base de données indicateurs1'!AN30</f>
        <v>0</v>
      </c>
      <c r="AO15" s="13">
        <f>'Base de données indicateurs1'!AO30</f>
        <v>0</v>
      </c>
      <c r="AP15" s="13">
        <f>'Base de données indicateurs1'!AP30</f>
        <v>0</v>
      </c>
      <c r="AQ15" s="13">
        <f>'Base de données indicateurs1'!AQ30</f>
        <v>0</v>
      </c>
      <c r="AR15" s="13">
        <f>'Base de données indicateurs1'!AR30</f>
        <v>0</v>
      </c>
      <c r="AS15" s="13">
        <f>'Base de données indicateurs1'!AS30</f>
        <v>0</v>
      </c>
      <c r="AT15" s="13">
        <f>'Base de données indicateurs1'!AT30</f>
        <v>0</v>
      </c>
      <c r="AU15" s="13">
        <f>'Base de données indicateurs1'!AU30</f>
        <v>0</v>
      </c>
      <c r="AV15" s="13">
        <f>'Base de données indicateurs1'!AV30</f>
        <v>0</v>
      </c>
      <c r="AW15" s="13">
        <f>'Base de données indicateurs1'!AW30</f>
        <v>0</v>
      </c>
      <c r="AX15" s="13">
        <f>'Base de données indicateurs1'!AX30</f>
        <v>0</v>
      </c>
      <c r="AY15" s="13">
        <f>'Base de données indicateurs1'!AY30</f>
        <v>0</v>
      </c>
      <c r="AZ15" s="13">
        <f>'Base de données indicateurs1'!AZ30</f>
        <v>13000</v>
      </c>
      <c r="BA15" s="13">
        <f>'Base de données indicateurs1'!BA30</f>
        <v>0</v>
      </c>
      <c r="BB15" s="13">
        <f>'Base de données indicateurs1'!BB30</f>
        <v>0</v>
      </c>
      <c r="BC15" s="13">
        <f>'Base de données indicateurs1'!BC30</f>
        <v>0</v>
      </c>
      <c r="BD15" s="13">
        <f>'Base de données indicateurs1'!BD30</f>
        <v>0</v>
      </c>
      <c r="BE15" s="13">
        <f>'Base de données indicateurs1'!BE30</f>
        <v>0</v>
      </c>
      <c r="BF15" s="13">
        <f t="shared" si="0"/>
        <v>8100</v>
      </c>
      <c r="BG15" s="13">
        <f t="shared" si="1"/>
        <v>0</v>
      </c>
      <c r="BH15" s="13">
        <f t="shared" si="2"/>
        <v>13000</v>
      </c>
    </row>
    <row r="16" spans="1:60" x14ac:dyDescent="0.2">
      <c r="A16" s="162" t="s">
        <v>528</v>
      </c>
      <c r="B16" s="163" t="s">
        <v>225</v>
      </c>
      <c r="C16" s="162">
        <v>366</v>
      </c>
      <c r="D16" s="164">
        <f>'Base de données indicateurs1'!BF31</f>
        <v>229456.08000000002</v>
      </c>
      <c r="E16" s="13">
        <f>'Base de données indicateurs1'!E31</f>
        <v>7905.29</v>
      </c>
      <c r="F16" s="13">
        <f>'Base de données indicateurs1'!F31</f>
        <v>0</v>
      </c>
      <c r="G16" s="13">
        <f>'Base de données indicateurs1'!G31</f>
        <v>0</v>
      </c>
      <c r="H16" s="13">
        <f>'Base de données indicateurs1'!H31</f>
        <v>0</v>
      </c>
      <c r="I16" s="13">
        <f>'Base de données indicateurs1'!I31</f>
        <v>1741</v>
      </c>
      <c r="J16" s="13">
        <f>'Base de données indicateurs1'!J31</f>
        <v>0</v>
      </c>
      <c r="K16" s="13">
        <f>'Base de données indicateurs1'!K31</f>
        <v>0</v>
      </c>
      <c r="L16" s="13">
        <f>'Base de données indicateurs1'!L31</f>
        <v>0</v>
      </c>
      <c r="M16" s="13">
        <f>'Base de données indicateurs1'!M31</f>
        <v>10700</v>
      </c>
      <c r="N16" s="13">
        <f>'Base de données indicateurs1'!N31</f>
        <v>0</v>
      </c>
      <c r="O16" s="13">
        <f>'Base de données indicateurs1'!O31</f>
        <v>71002.240000000005</v>
      </c>
      <c r="P16" s="13">
        <f>'Base de données indicateurs1'!P31</f>
        <v>0</v>
      </c>
      <c r="Q16" s="13">
        <f>'Base de données indicateurs1'!Q31</f>
        <v>0</v>
      </c>
      <c r="R16" s="13">
        <f>'Base de données indicateurs1'!R31</f>
        <v>0</v>
      </c>
      <c r="S16" s="13">
        <f>'Base de données indicateurs1'!S31</f>
        <v>0</v>
      </c>
      <c r="T16" s="13">
        <f>'Base de données indicateurs1'!T31</f>
        <v>0</v>
      </c>
      <c r="U16" s="13">
        <f>'Base de données indicateurs1'!U31</f>
        <v>667.55</v>
      </c>
      <c r="V16" s="13">
        <f>'Base de données indicateurs1'!V31</f>
        <v>0</v>
      </c>
      <c r="W16" s="13">
        <f>'Base de données indicateurs1'!W31</f>
        <v>133028</v>
      </c>
      <c r="X16" s="13">
        <f>'Base de données indicateurs1'!X31</f>
        <v>0</v>
      </c>
      <c r="Y16" s="13">
        <f>'Base de données indicateurs1'!Y31</f>
        <v>0</v>
      </c>
      <c r="Z16" s="13">
        <f>'Base de données indicateurs1'!Z31</f>
        <v>0</v>
      </c>
      <c r="AA16" s="13">
        <f>'Base de données indicateurs1'!AA31</f>
        <v>0</v>
      </c>
      <c r="AB16" s="13">
        <f>'Base de données indicateurs1'!AB31</f>
        <v>0</v>
      </c>
      <c r="AC16" s="13">
        <f>'Base de données indicateurs1'!AC31</f>
        <v>0</v>
      </c>
      <c r="AD16" s="13">
        <f>'Base de données indicateurs1'!AD31</f>
        <v>0</v>
      </c>
      <c r="AE16" s="13">
        <f>'Base de données indicateurs1'!AE31</f>
        <v>0</v>
      </c>
      <c r="AF16" s="13">
        <f>'Base de données indicateurs1'!AF31</f>
        <v>0</v>
      </c>
      <c r="AG16" s="13">
        <f>'Base de données indicateurs1'!AG31</f>
        <v>0</v>
      </c>
      <c r="AH16" s="13">
        <f>'Base de données indicateurs1'!AH31</f>
        <v>0</v>
      </c>
      <c r="AI16" s="13">
        <f>'Base de données indicateurs1'!AI31</f>
        <v>0</v>
      </c>
      <c r="AJ16" s="13">
        <f>'Base de données indicateurs1'!AJ31</f>
        <v>0</v>
      </c>
      <c r="AK16" s="13">
        <f>'Base de données indicateurs1'!AK31</f>
        <v>0</v>
      </c>
      <c r="AL16" s="13">
        <f>'Base de données indicateurs1'!AL31</f>
        <v>0</v>
      </c>
      <c r="AM16" s="13">
        <f>'Base de données indicateurs1'!AM31</f>
        <v>0</v>
      </c>
      <c r="AN16" s="13">
        <f>'Base de données indicateurs1'!AN31</f>
        <v>0</v>
      </c>
      <c r="AO16" s="13">
        <f>'Base de données indicateurs1'!AO31</f>
        <v>0</v>
      </c>
      <c r="AP16" s="13">
        <f>'Base de données indicateurs1'!AP31</f>
        <v>0</v>
      </c>
      <c r="AQ16" s="13">
        <f>'Base de données indicateurs1'!AQ31</f>
        <v>0</v>
      </c>
      <c r="AR16" s="13">
        <f>'Base de données indicateurs1'!AR31</f>
        <v>0</v>
      </c>
      <c r="AS16" s="13">
        <f>'Base de données indicateurs1'!AS31</f>
        <v>0</v>
      </c>
      <c r="AT16" s="13">
        <f>'Base de données indicateurs1'!AT31</f>
        <v>0</v>
      </c>
      <c r="AU16" s="13">
        <f>'Base de données indicateurs1'!AU31</f>
        <v>338</v>
      </c>
      <c r="AV16" s="13">
        <f>'Base de données indicateurs1'!AV31</f>
        <v>0</v>
      </c>
      <c r="AW16" s="13">
        <f>'Base de données indicateurs1'!AW31</f>
        <v>633</v>
      </c>
      <c r="AX16" s="13">
        <f>'Base de données indicateurs1'!AX31</f>
        <v>207</v>
      </c>
      <c r="AY16" s="13">
        <f>'Base de données indicateurs1'!AY31</f>
        <v>0</v>
      </c>
      <c r="AZ16" s="13">
        <f>'Base de données indicateurs1'!AZ31</f>
        <v>1597</v>
      </c>
      <c r="BA16" s="13">
        <f>'Base de données indicateurs1'!BA31</f>
        <v>319</v>
      </c>
      <c r="BB16" s="13">
        <f>'Base de données indicateurs1'!BB31</f>
        <v>1083</v>
      </c>
      <c r="BC16" s="13">
        <f>'Base de données indicateurs1'!BC31</f>
        <v>235</v>
      </c>
      <c r="BD16" s="13">
        <f>'Base de données indicateurs1'!BD31</f>
        <v>0</v>
      </c>
      <c r="BE16" s="13">
        <f>'Base de données indicateurs1'!BE31</f>
        <v>0</v>
      </c>
      <c r="BF16" s="13">
        <f t="shared" si="0"/>
        <v>225044.08000000002</v>
      </c>
      <c r="BG16" s="13">
        <f t="shared" si="1"/>
        <v>0</v>
      </c>
      <c r="BH16" s="13">
        <f t="shared" si="2"/>
        <v>4412</v>
      </c>
    </row>
    <row r="17" spans="1:60" ht="15" thickBot="1" x14ac:dyDescent="0.25">
      <c r="A17" s="165"/>
      <c r="B17" s="166"/>
      <c r="C17" s="165"/>
      <c r="D17" s="167"/>
      <c r="BF17" s="13"/>
      <c r="BG17" s="13"/>
      <c r="BH17" s="13"/>
    </row>
    <row r="18" spans="1:60" ht="15.75" thickBot="1" x14ac:dyDescent="0.3">
      <c r="A18" s="7" t="s">
        <v>529</v>
      </c>
      <c r="B18" s="112"/>
      <c r="C18" s="7"/>
      <c r="D18" s="185">
        <f>SUM(D8:D9,D11,D13)-SUM(D10,D12,D14:D16)+D6</f>
        <v>421399963.54999995</v>
      </c>
      <c r="E18" s="177">
        <f>SUM(E8:E9,E11,E13)-SUM(E10,E12,E14:E16)+E6</f>
        <v>3812119.1700000004</v>
      </c>
      <c r="F18" s="167">
        <f t="shared" ref="F18:BE18" si="3">SUM(F8:F9,F11,F13)-SUM(F10,F12,F14:F16)+F6</f>
        <v>1063293.3599999999</v>
      </c>
      <c r="G18" s="167">
        <f t="shared" si="3"/>
        <v>1759843.65</v>
      </c>
      <c r="H18" s="167">
        <f t="shared" si="3"/>
        <v>1892230.4300000002</v>
      </c>
      <c r="I18" s="167">
        <f t="shared" si="3"/>
        <v>16943417.620000001</v>
      </c>
      <c r="J18" s="167">
        <f t="shared" si="3"/>
        <v>15114294.489999998</v>
      </c>
      <c r="K18" s="167">
        <f t="shared" si="3"/>
        <v>11025446.809999999</v>
      </c>
      <c r="L18" s="167">
        <f t="shared" si="3"/>
        <v>110411355.78999999</v>
      </c>
      <c r="M18" s="167">
        <f t="shared" si="3"/>
        <v>9186572.5</v>
      </c>
      <c r="N18" s="167">
        <f t="shared" si="3"/>
        <v>432668.93</v>
      </c>
      <c r="O18" s="167">
        <f t="shared" si="3"/>
        <v>30150997.100000001</v>
      </c>
      <c r="P18" s="167">
        <f t="shared" si="3"/>
        <v>1903578.95</v>
      </c>
      <c r="Q18" s="167">
        <f t="shared" si="3"/>
        <v>388006.5</v>
      </c>
      <c r="R18" s="167">
        <f t="shared" si="3"/>
        <v>1532425.77</v>
      </c>
      <c r="S18" s="167">
        <f t="shared" si="3"/>
        <v>1351648.1999999997</v>
      </c>
      <c r="T18" s="167">
        <f t="shared" si="3"/>
        <v>3063300.22</v>
      </c>
      <c r="U18" s="167">
        <f t="shared" si="3"/>
        <v>1069492.28</v>
      </c>
      <c r="V18" s="167">
        <f t="shared" si="3"/>
        <v>2193426.7700000005</v>
      </c>
      <c r="W18" s="167">
        <f t="shared" si="3"/>
        <v>15421012.440000001</v>
      </c>
      <c r="X18" s="167">
        <f t="shared" si="3"/>
        <v>1686685.8</v>
      </c>
      <c r="Y18" s="167">
        <f t="shared" si="3"/>
        <v>6356452.4899999993</v>
      </c>
      <c r="Z18" s="167">
        <f t="shared" si="3"/>
        <v>11825867.299999999</v>
      </c>
      <c r="AA18" s="167">
        <f t="shared" si="3"/>
        <v>753377.75</v>
      </c>
      <c r="AB18" s="167">
        <f t="shared" si="3"/>
        <v>881754.75</v>
      </c>
      <c r="AC18" s="167">
        <f t="shared" si="3"/>
        <v>2900094.7700000005</v>
      </c>
      <c r="AD18" s="167">
        <f t="shared" si="3"/>
        <v>4893312.1400000006</v>
      </c>
      <c r="AE18" s="167">
        <f t="shared" si="3"/>
        <v>3170089.3499999996</v>
      </c>
      <c r="AF18" s="167">
        <f t="shared" si="3"/>
        <v>3459156.17</v>
      </c>
      <c r="AG18" s="167">
        <f t="shared" si="3"/>
        <v>8995548.4699999988</v>
      </c>
      <c r="AH18" s="167">
        <f t="shared" si="3"/>
        <v>11889346.75</v>
      </c>
      <c r="AI18" s="167">
        <f t="shared" si="3"/>
        <v>960175.85</v>
      </c>
      <c r="AJ18" s="167">
        <f t="shared" si="3"/>
        <v>691389.12</v>
      </c>
      <c r="AK18" s="167">
        <f t="shared" si="3"/>
        <v>7936382.7000000002</v>
      </c>
      <c r="AL18" s="167">
        <f t="shared" si="3"/>
        <v>5061827.55</v>
      </c>
      <c r="AM18" s="167">
        <f t="shared" si="3"/>
        <v>5384973.0299999993</v>
      </c>
      <c r="AN18" s="167">
        <f t="shared" si="3"/>
        <v>518478.07</v>
      </c>
      <c r="AO18" s="167">
        <f t="shared" si="3"/>
        <v>8995946.3300000001</v>
      </c>
      <c r="AP18" s="167">
        <f t="shared" si="3"/>
        <v>3836911.7399999998</v>
      </c>
      <c r="AQ18" s="167">
        <f t="shared" si="3"/>
        <v>3429439.8</v>
      </c>
      <c r="AR18" s="167">
        <f t="shared" si="3"/>
        <v>8074974.8300000001</v>
      </c>
      <c r="AS18" s="167">
        <f t="shared" si="3"/>
        <v>3150645.83</v>
      </c>
      <c r="AT18" s="167">
        <f t="shared" si="3"/>
        <v>5069785.66</v>
      </c>
      <c r="AU18" s="167">
        <f t="shared" si="3"/>
        <v>1802864.59</v>
      </c>
      <c r="AV18" s="167">
        <f t="shared" si="3"/>
        <v>11372510.48</v>
      </c>
      <c r="AW18" s="167">
        <f t="shared" si="3"/>
        <v>3228589.15</v>
      </c>
      <c r="AX18" s="167">
        <f t="shared" si="3"/>
        <v>772786.49</v>
      </c>
      <c r="AY18" s="167">
        <f t="shared" si="3"/>
        <v>1265506.79</v>
      </c>
      <c r="AZ18" s="167">
        <f t="shared" si="3"/>
        <v>6426385.0900000008</v>
      </c>
      <c r="BA18" s="167">
        <f t="shared" si="3"/>
        <v>2615693.42</v>
      </c>
      <c r="BB18" s="167">
        <f t="shared" si="3"/>
        <v>6027021.9100000001</v>
      </c>
      <c r="BC18" s="167">
        <f t="shared" si="3"/>
        <v>1231725.77</v>
      </c>
      <c r="BD18" s="167">
        <f t="shared" si="3"/>
        <v>45571890.300000004</v>
      </c>
      <c r="BE18" s="167">
        <f t="shared" si="3"/>
        <v>2447242.33</v>
      </c>
      <c r="BF18" s="13">
        <f t="shared" si="0"/>
        <v>228715130.97999999</v>
      </c>
      <c r="BG18" s="13">
        <f t="shared" si="1"/>
        <v>58463250.709999993</v>
      </c>
      <c r="BH18" s="13">
        <f t="shared" si="2"/>
        <v>134221581.86000001</v>
      </c>
    </row>
    <row r="19" spans="1:60" ht="15" thickBot="1" x14ac:dyDescent="0.25">
      <c r="B19" s="169"/>
      <c r="D19" s="13"/>
      <c r="BF19" s="13"/>
      <c r="BG19" s="13"/>
      <c r="BH19" s="13"/>
    </row>
    <row r="20" spans="1:60" ht="15.75" thickBot="1" x14ac:dyDescent="0.3">
      <c r="A20" s="7" t="s">
        <v>530</v>
      </c>
      <c r="B20" s="169"/>
      <c r="D20" s="168">
        <f>IF(D18&lt;&gt;0,D6/D18,"")*100</f>
        <v>13.797218046769338</v>
      </c>
      <c r="E20" s="177">
        <f>IF(E18&lt;&gt;0,E6/E18,"")*100</f>
        <v>9.7505448655740743</v>
      </c>
      <c r="F20" s="167">
        <f t="shared" ref="F20:BH20" si="4">IF(F18&lt;&gt;0,F6/F18,"")*100</f>
        <v>2.6409926983838217</v>
      </c>
      <c r="G20" s="167">
        <f t="shared" si="4"/>
        <v>13.761586149996905</v>
      </c>
      <c r="H20" s="167">
        <f t="shared" si="4"/>
        <v>3.2902520228469214</v>
      </c>
      <c r="I20" s="167">
        <f t="shared" si="4"/>
        <v>14.037696959038893</v>
      </c>
      <c r="J20" s="167">
        <f t="shared" si="4"/>
        <v>14.573239071511567</v>
      </c>
      <c r="K20" s="167">
        <f t="shared" si="4"/>
        <v>8.8800887335648948</v>
      </c>
      <c r="L20" s="167">
        <f t="shared" si="4"/>
        <v>10.884123751597309</v>
      </c>
      <c r="M20" s="167">
        <f t="shared" si="4"/>
        <v>20.801080816594002</v>
      </c>
      <c r="N20" s="167">
        <f t="shared" si="4"/>
        <v>9.5379508762045848</v>
      </c>
      <c r="O20" s="167">
        <f t="shared" si="4"/>
        <v>18.014278705230616</v>
      </c>
      <c r="P20" s="167">
        <f t="shared" si="4"/>
        <v>2.6780980111174268</v>
      </c>
      <c r="Q20" s="167">
        <f t="shared" si="4"/>
        <v>0.56394673800567774</v>
      </c>
      <c r="R20" s="167">
        <f t="shared" si="4"/>
        <v>2.8342129746356326</v>
      </c>
      <c r="S20" s="167">
        <f t="shared" si="4"/>
        <v>1.5481099297879436E-2</v>
      </c>
      <c r="T20" s="167">
        <f t="shared" si="4"/>
        <v>6.4838959858789149</v>
      </c>
      <c r="U20" s="167">
        <f t="shared" si="4"/>
        <v>10.490281425874342</v>
      </c>
      <c r="V20" s="167">
        <f t="shared" si="4"/>
        <v>2.9805417210258622</v>
      </c>
      <c r="W20" s="167">
        <f t="shared" si="4"/>
        <v>31.875328997529813</v>
      </c>
      <c r="X20" s="167">
        <f t="shared" si="4"/>
        <v>19.657985500322585</v>
      </c>
      <c r="Y20" s="167">
        <f t="shared" si="4"/>
        <v>8.9501730862460995</v>
      </c>
      <c r="Z20" s="167">
        <f t="shared" si="4"/>
        <v>3.0131895696140614</v>
      </c>
      <c r="AA20" s="167">
        <f t="shared" si="4"/>
        <v>45.08929285474651</v>
      </c>
      <c r="AB20" s="167">
        <f t="shared" si="4"/>
        <v>20.216477427538667</v>
      </c>
      <c r="AC20" s="167">
        <f t="shared" si="4"/>
        <v>12.888613291764942</v>
      </c>
      <c r="AD20" s="167">
        <f t="shared" si="4"/>
        <v>31.350452333907313</v>
      </c>
      <c r="AE20" s="167">
        <f t="shared" si="4"/>
        <v>15.234422335761611</v>
      </c>
      <c r="AF20" s="167">
        <f t="shared" si="4"/>
        <v>17.520917825459151</v>
      </c>
      <c r="AG20" s="167">
        <f t="shared" si="4"/>
        <v>9.2362019144342415</v>
      </c>
      <c r="AH20" s="167">
        <f t="shared" si="4"/>
        <v>9.8531892006598252</v>
      </c>
      <c r="AI20" s="167">
        <f t="shared" si="4"/>
        <v>2.6525193275794221</v>
      </c>
      <c r="AJ20" s="167">
        <f t="shared" si="4"/>
        <v>9.6505496065659813</v>
      </c>
      <c r="AK20" s="167">
        <f t="shared" si="4"/>
        <v>9.1129531845786609</v>
      </c>
      <c r="AL20" s="167">
        <f t="shared" si="4"/>
        <v>4.9168180373904686</v>
      </c>
      <c r="AM20" s="167">
        <f t="shared" si="4"/>
        <v>8.6138659825377086</v>
      </c>
      <c r="AN20" s="167">
        <f t="shared" si="4"/>
        <v>3.7911921713487318</v>
      </c>
      <c r="AO20" s="167">
        <f t="shared" si="4"/>
        <v>16.989752983552982</v>
      </c>
      <c r="AP20" s="167">
        <f t="shared" si="4"/>
        <v>8.7252971318021508</v>
      </c>
      <c r="AQ20" s="167">
        <f t="shared" si="4"/>
        <v>32.767007602816065</v>
      </c>
      <c r="AR20" s="167">
        <f t="shared" si="4"/>
        <v>24.340325405076214</v>
      </c>
      <c r="AS20" s="167">
        <f t="shared" si="4"/>
        <v>4.850430935298113</v>
      </c>
      <c r="AT20" s="167">
        <f t="shared" si="4"/>
        <v>20.525497916217624</v>
      </c>
      <c r="AU20" s="167">
        <f t="shared" si="4"/>
        <v>9.8575234649209005</v>
      </c>
      <c r="AV20" s="167">
        <f t="shared" si="4"/>
        <v>18.773109541245287</v>
      </c>
      <c r="AW20" s="167">
        <f t="shared" si="4"/>
        <v>10.663471999836215</v>
      </c>
      <c r="AX20" s="167">
        <f t="shared" si="4"/>
        <v>0</v>
      </c>
      <c r="AY20" s="167">
        <f t="shared" si="4"/>
        <v>6.6839111941864813</v>
      </c>
      <c r="AZ20" s="167">
        <f t="shared" si="4"/>
        <v>4.1141123088221283</v>
      </c>
      <c r="BA20" s="167">
        <f t="shared" si="4"/>
        <v>45.174978113451843</v>
      </c>
      <c r="BB20" s="167">
        <f t="shared" si="4"/>
        <v>15.66599431857715</v>
      </c>
      <c r="BC20" s="167">
        <f t="shared" si="4"/>
        <v>38.121427791512389</v>
      </c>
      <c r="BD20" s="167">
        <f t="shared" si="4"/>
        <v>15.326733637818837</v>
      </c>
      <c r="BE20" s="167">
        <f t="shared" si="4"/>
        <v>1.3895599787210284</v>
      </c>
      <c r="BF20" s="167">
        <f t="shared" si="4"/>
        <v>13.577531030387103</v>
      </c>
      <c r="BG20" s="167">
        <f t="shared" si="4"/>
        <v>11.744415280735593</v>
      </c>
      <c r="BH20" s="167">
        <f t="shared" si="4"/>
        <v>15.065712018721392</v>
      </c>
    </row>
    <row r="21" spans="1:60" x14ac:dyDescent="0.2">
      <c r="A21" s="173" t="s">
        <v>531</v>
      </c>
      <c r="B21" s="169"/>
      <c r="D21" s="13"/>
      <c r="BF21" s="13"/>
      <c r="BG21" s="13"/>
      <c r="BH21" s="13"/>
    </row>
    <row r="22" spans="1:60" x14ac:dyDescent="0.2">
      <c r="A22" s="173"/>
      <c r="B22" s="169"/>
      <c r="D22" s="13"/>
      <c r="BF22" s="13"/>
      <c r="BG22" s="13"/>
      <c r="BH22" s="13"/>
    </row>
    <row r="23" spans="1:60" x14ac:dyDescent="0.2">
      <c r="D23" s="13"/>
      <c r="BF23" s="13"/>
      <c r="BG23" s="13"/>
      <c r="BH23" s="13"/>
    </row>
    <row r="24" spans="1:60" ht="15" x14ac:dyDescent="0.25">
      <c r="A24" s="7" t="s">
        <v>532</v>
      </c>
      <c r="B24" s="158"/>
      <c r="C24" s="33" t="s">
        <v>493</v>
      </c>
      <c r="D24" s="186" t="s">
        <v>494</v>
      </c>
      <c r="BF24" s="13"/>
      <c r="BG24" s="13"/>
      <c r="BH24" s="13"/>
    </row>
    <row r="25" spans="1:60" x14ac:dyDescent="0.2">
      <c r="B25" s="158"/>
      <c r="D25" s="13"/>
      <c r="BF25" s="13"/>
      <c r="BG25" s="13"/>
      <c r="BH25" s="13"/>
    </row>
    <row r="26" spans="1:60" x14ac:dyDescent="0.2">
      <c r="A26" s="159" t="s">
        <v>281</v>
      </c>
      <c r="B26" s="160" t="s">
        <v>224</v>
      </c>
      <c r="C26" s="159">
        <v>340</v>
      </c>
      <c r="D26" s="161">
        <f>'Base de données indicateurs1'!BF23</f>
        <v>6248537.4499999983</v>
      </c>
      <c r="E26" s="13">
        <f>'Base de données indicateurs1'!E23</f>
        <v>54405.36</v>
      </c>
      <c r="F26" s="13">
        <f>'Base de données indicateurs1'!F23</f>
        <v>28132.15</v>
      </c>
      <c r="G26" s="13">
        <f>'Base de données indicateurs1'!G23</f>
        <v>54021.440000000002</v>
      </c>
      <c r="H26" s="13">
        <f>'Base de données indicateurs1'!H23</f>
        <v>57098.85</v>
      </c>
      <c r="I26" s="13">
        <f>'Base de données indicateurs1'!I23</f>
        <v>374174</v>
      </c>
      <c r="J26" s="13">
        <f>'Base de données indicateurs1'!J23</f>
        <v>193845.61</v>
      </c>
      <c r="K26" s="13">
        <f>'Base de données indicateurs1'!K23</f>
        <v>143790.16</v>
      </c>
      <c r="L26" s="13">
        <f>'Base de données indicateurs1'!L23</f>
        <v>1809808.42</v>
      </c>
      <c r="M26" s="13">
        <f>'Base de données indicateurs1'!M23</f>
        <v>42381.919999999998</v>
      </c>
      <c r="N26" s="13">
        <f>'Base de données indicateurs1'!N23</f>
        <v>7268.05</v>
      </c>
      <c r="O26" s="13">
        <f>'Base de données indicateurs1'!O23</f>
        <v>295834.36</v>
      </c>
      <c r="P26" s="13">
        <f>'Base de données indicateurs1'!P23</f>
        <v>39196.449999999997</v>
      </c>
      <c r="Q26" s="13">
        <f>'Base de données indicateurs1'!Q23</f>
        <v>8151.88</v>
      </c>
      <c r="R26" s="13">
        <f>'Base de données indicateurs1'!R23</f>
        <v>38763.06</v>
      </c>
      <c r="S26" s="13">
        <f>'Base de données indicateurs1'!S23</f>
        <v>64754.02</v>
      </c>
      <c r="T26" s="13">
        <f>'Base de données indicateurs1'!T23</f>
        <v>45109.47</v>
      </c>
      <c r="U26" s="13">
        <f>'Base de données indicateurs1'!U23</f>
        <v>10053.27</v>
      </c>
      <c r="V26" s="13">
        <f>'Base de données indicateurs1'!V23</f>
        <v>35619.339999999997</v>
      </c>
      <c r="W26" s="13">
        <f>'Base de données indicateurs1'!W23</f>
        <v>166137.12</v>
      </c>
      <c r="X26" s="13">
        <f>'Base de données indicateurs1'!X23</f>
        <v>8239.19</v>
      </c>
      <c r="Y26" s="13">
        <f>'Base de données indicateurs1'!Y23</f>
        <v>128326.63</v>
      </c>
      <c r="Z26" s="13">
        <f>'Base de données indicateurs1'!Z23</f>
        <v>10311.48</v>
      </c>
      <c r="AA26" s="13">
        <f>'Base de données indicateurs1'!AA23</f>
        <v>4795.67</v>
      </c>
      <c r="AB26" s="13">
        <f>'Base de données indicateurs1'!AB23</f>
        <v>3587.37</v>
      </c>
      <c r="AC26" s="13">
        <f>'Base de données indicateurs1'!AC23</f>
        <v>62106.16</v>
      </c>
      <c r="AD26" s="13">
        <f>'Base de données indicateurs1'!AD23</f>
        <v>57177.8</v>
      </c>
      <c r="AE26" s="13">
        <f>'Base de données indicateurs1'!AE23</f>
        <v>35078.6</v>
      </c>
      <c r="AF26" s="13">
        <f>'Base de données indicateurs1'!AF23</f>
        <v>15061.15</v>
      </c>
      <c r="AG26" s="13">
        <f>'Base de données indicateurs1'!AG23</f>
        <v>46459.57</v>
      </c>
      <c r="AH26" s="13">
        <f>'Base de données indicateurs1'!AH23</f>
        <v>132611.03</v>
      </c>
      <c r="AI26" s="13">
        <f>'Base de données indicateurs1'!AI23</f>
        <v>0</v>
      </c>
      <c r="AJ26" s="13">
        <f>'Base de données indicateurs1'!AJ23</f>
        <v>4578.28</v>
      </c>
      <c r="AK26" s="13">
        <f>'Base de données indicateurs1'!AK23</f>
        <v>156374.1</v>
      </c>
      <c r="AL26" s="13">
        <f>'Base de données indicateurs1'!AL23</f>
        <v>119078</v>
      </c>
      <c r="AM26" s="13">
        <f>'Base de données indicateurs1'!AM23</f>
        <v>129201.11</v>
      </c>
      <c r="AN26" s="13">
        <f>'Base de données indicateurs1'!AN23</f>
        <v>19633.919999999998</v>
      </c>
      <c r="AO26" s="13">
        <f>'Base de données indicateurs1'!AO23</f>
        <v>60213.33</v>
      </c>
      <c r="AP26" s="13">
        <f>'Base de données indicateurs1'!AP23</f>
        <v>74155.97</v>
      </c>
      <c r="AQ26" s="13">
        <f>'Base de données indicateurs1'!AQ23</f>
        <v>60050</v>
      </c>
      <c r="AR26" s="13">
        <f>'Base de données indicateurs1'!AR23</f>
        <v>78368.460000000006</v>
      </c>
      <c r="AS26" s="13">
        <f>'Base de données indicateurs1'!AS23</f>
        <v>0</v>
      </c>
      <c r="AT26" s="13">
        <f>'Base de données indicateurs1'!AT23</f>
        <v>105867.22</v>
      </c>
      <c r="AU26" s="13">
        <f>'Base de données indicateurs1'!AU23</f>
        <v>22266.65</v>
      </c>
      <c r="AV26" s="13">
        <f>'Base de données indicateurs1'!AV23</f>
        <v>190311.65</v>
      </c>
      <c r="AW26" s="13">
        <f>'Base de données indicateurs1'!AW23</f>
        <v>60249.21</v>
      </c>
      <c r="AX26" s="13">
        <f>'Base de données indicateurs1'!AX23</f>
        <v>7077.6</v>
      </c>
      <c r="AY26" s="13">
        <f>'Base de données indicateurs1'!AY23</f>
        <v>14484.84</v>
      </c>
      <c r="AZ26" s="13">
        <f>'Base de données indicateurs1'!AZ23</f>
        <v>285893.94</v>
      </c>
      <c r="BA26" s="13">
        <f>'Base de données indicateurs1'!BA23</f>
        <v>18908.810000000001</v>
      </c>
      <c r="BB26" s="13">
        <f>'Base de données indicateurs1'!BB23</f>
        <v>77938</v>
      </c>
      <c r="BC26" s="13">
        <f>'Base de données indicateurs1'!BC23</f>
        <v>278.10000000000002</v>
      </c>
      <c r="BD26" s="13">
        <f>'Base de données indicateurs1'!BD23</f>
        <v>754417.41</v>
      </c>
      <c r="BE26" s="13">
        <f>'Base de données indicateurs1'!BE23</f>
        <v>36891.269999999997</v>
      </c>
      <c r="BF26" s="13">
        <f t="shared" si="0"/>
        <v>3468544.93</v>
      </c>
      <c r="BG26" s="13">
        <f t="shared" si="1"/>
        <v>508332.93000000005</v>
      </c>
      <c r="BH26" s="13">
        <f t="shared" si="2"/>
        <v>2271659.5900000003</v>
      </c>
    </row>
    <row r="27" spans="1:60"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row>
    <row r="28" spans="1:60" x14ac:dyDescent="0.2">
      <c r="A28" s="162" t="s">
        <v>533</v>
      </c>
      <c r="B28" s="163" t="s">
        <v>224</v>
      </c>
      <c r="C28" s="162">
        <v>33</v>
      </c>
      <c r="D28" s="164">
        <f>'Base de données indicateurs1'!BF21</f>
        <v>25063349.649999999</v>
      </c>
      <c r="E28" s="13">
        <f>'Base de données indicateurs1'!E21</f>
        <v>273439.17</v>
      </c>
      <c r="F28" s="13">
        <f>'Base de données indicateurs1'!F21</f>
        <v>83034</v>
      </c>
      <c r="G28" s="13">
        <f>'Base de données indicateurs1'!G21</f>
        <v>78515.149999999994</v>
      </c>
      <c r="H28" s="13">
        <f>'Base de données indicateurs1'!H21</f>
        <v>93170.3</v>
      </c>
      <c r="I28" s="13">
        <f>'Base de données indicateurs1'!I21</f>
        <v>858686</v>
      </c>
      <c r="J28" s="13">
        <f>'Base de données indicateurs1'!J21</f>
        <v>1089085.6299999999</v>
      </c>
      <c r="K28" s="13">
        <f>'Base de données indicateurs1'!K21</f>
        <v>632517.34</v>
      </c>
      <c r="L28" s="13">
        <f>'Base de données indicateurs1'!L21</f>
        <v>5967644.75</v>
      </c>
      <c r="M28" s="13">
        <f>'Base de données indicateurs1'!M21</f>
        <v>613168.35</v>
      </c>
      <c r="N28" s="13">
        <f>'Base de données indicateurs1'!N21</f>
        <v>50799.23</v>
      </c>
      <c r="O28" s="13">
        <f>'Base de données indicateurs1'!O21</f>
        <v>1383618.3</v>
      </c>
      <c r="P28" s="13">
        <f>'Base de données indicateurs1'!P21</f>
        <v>122720.55</v>
      </c>
      <c r="Q28" s="13">
        <f>'Base de données indicateurs1'!Q21</f>
        <v>12625</v>
      </c>
      <c r="R28" s="13">
        <f>'Base de données indicateurs1'!R21</f>
        <v>87650</v>
      </c>
      <c r="S28" s="13">
        <f>'Base de données indicateurs1'!S21</f>
        <v>105668.5</v>
      </c>
      <c r="T28" s="13">
        <f>'Base de données indicateurs1'!T21</f>
        <v>168872.25</v>
      </c>
      <c r="U28" s="13">
        <f>'Base de données indicateurs1'!U21</f>
        <v>40149.85</v>
      </c>
      <c r="V28" s="13">
        <f>'Base de données indicateurs1'!V21</f>
        <v>139791.85</v>
      </c>
      <c r="W28" s="13">
        <f>'Base de données indicateurs1'!W21</f>
        <v>1101646.21</v>
      </c>
      <c r="X28" s="13">
        <f>'Base de données indicateurs1'!X21</f>
        <v>59856.25</v>
      </c>
      <c r="Y28" s="13">
        <f>'Base de données indicateurs1'!Y21</f>
        <v>296371.95</v>
      </c>
      <c r="Z28" s="13">
        <f>'Base de données indicateurs1'!Z21</f>
        <v>498784</v>
      </c>
      <c r="AA28" s="13">
        <f>'Base de données indicateurs1'!AA21</f>
        <v>98769.65</v>
      </c>
      <c r="AB28" s="13">
        <f>'Base de données indicateurs1'!AB21</f>
        <v>163116.93</v>
      </c>
      <c r="AC28" s="13">
        <f>'Base de données indicateurs1'!AC21</f>
        <v>93759.9</v>
      </c>
      <c r="AD28" s="13">
        <f>'Base de données indicateurs1'!AD21</f>
        <v>282477.59999999998</v>
      </c>
      <c r="AE28" s="13">
        <f>'Base de données indicateurs1'!AE21</f>
        <v>124708.45</v>
      </c>
      <c r="AF28" s="13">
        <f>'Base de données indicateurs1'!AF21</f>
        <v>102124.94</v>
      </c>
      <c r="AG28" s="13">
        <f>'Base de données indicateurs1'!AG21</f>
        <v>610812.23</v>
      </c>
      <c r="AH28" s="13">
        <f>'Base de données indicateurs1'!AH21</f>
        <v>775580.9</v>
      </c>
      <c r="AI28" s="13">
        <f>'Base de données indicateurs1'!AI21</f>
        <v>62896</v>
      </c>
      <c r="AJ28" s="13">
        <f>'Base de données indicateurs1'!AJ21</f>
        <v>158021.35999999999</v>
      </c>
      <c r="AK28" s="13">
        <f>'Base de données indicateurs1'!AK21</f>
        <v>423638.75</v>
      </c>
      <c r="AL28" s="13">
        <f>'Base de données indicateurs1'!AL21</f>
        <v>393262</v>
      </c>
      <c r="AM28" s="13">
        <f>'Base de données indicateurs1'!AM21</f>
        <v>270930</v>
      </c>
      <c r="AN28" s="13">
        <f>'Base de données indicateurs1'!AN21</f>
        <v>42915</v>
      </c>
      <c r="AO28" s="13">
        <f>'Base de données indicateurs1'!AO21</f>
        <v>609937.27</v>
      </c>
      <c r="AP28" s="13">
        <f>'Base de données indicateurs1'!AP21</f>
        <v>112200</v>
      </c>
      <c r="AQ28" s="13">
        <f>'Base de données indicateurs1'!AQ21</f>
        <v>224974</v>
      </c>
      <c r="AR28" s="13">
        <f>'Base de données indicateurs1'!AR21</f>
        <v>972063.07</v>
      </c>
      <c r="AS28" s="13">
        <f>'Base de données indicateurs1'!AS21</f>
        <v>174026.95</v>
      </c>
      <c r="AT28" s="13">
        <f>'Base de données indicateurs1'!AT21</f>
        <v>264605.2</v>
      </c>
      <c r="AU28" s="13">
        <f>'Base de données indicateurs1'!AU21</f>
        <v>129587.55</v>
      </c>
      <c r="AV28" s="13">
        <f>'Base de données indicateurs1'!AV21</f>
        <v>842004.6</v>
      </c>
      <c r="AW28" s="13">
        <f>'Base de données indicateurs1'!AW21</f>
        <v>115334.39999999999</v>
      </c>
      <c r="AX28" s="13">
        <f>'Base de données indicateurs1'!AX21</f>
        <v>33410</v>
      </c>
      <c r="AY28" s="13">
        <f>'Base de données indicateurs1'!AY21</f>
        <v>175965</v>
      </c>
      <c r="AZ28" s="13">
        <f>'Base de données indicateurs1'!AZ21</f>
        <v>581198.1</v>
      </c>
      <c r="BA28" s="13">
        <f>'Base de données indicateurs1'!BA21</f>
        <v>46350</v>
      </c>
      <c r="BB28" s="13">
        <f>'Base de données indicateurs1'!BB21</f>
        <v>391952</v>
      </c>
      <c r="BC28" s="13">
        <f>'Base de données indicateurs1'!BC21</f>
        <v>25245</v>
      </c>
      <c r="BD28" s="13">
        <f>'Base de données indicateurs1'!BD21</f>
        <v>2911318.17</v>
      </c>
      <c r="BE28" s="13">
        <f>'Base de données indicateurs1'!BE21</f>
        <v>92350</v>
      </c>
      <c r="BF28" s="13">
        <f t="shared" si="0"/>
        <v>12902802.43</v>
      </c>
      <c r="BG28" s="13">
        <f t="shared" si="1"/>
        <v>3327280.1599999992</v>
      </c>
      <c r="BH28" s="13">
        <f t="shared" si="2"/>
        <v>8833267.0599999987</v>
      </c>
    </row>
    <row r="29" spans="1:60" x14ac:dyDescent="0.2">
      <c r="A29" s="162" t="s">
        <v>527</v>
      </c>
      <c r="B29" s="163" t="s">
        <v>224</v>
      </c>
      <c r="C29" s="162">
        <v>364</v>
      </c>
      <c r="D29" s="164">
        <f>'Base de données indicateurs1'!BF29</f>
        <v>0</v>
      </c>
      <c r="E29" s="13">
        <f>'Base de données indicateurs1'!E29</f>
        <v>0</v>
      </c>
      <c r="F29" s="13">
        <f>'Base de données indicateurs1'!F29</f>
        <v>0</v>
      </c>
      <c r="G29" s="13">
        <f>'Base de données indicateurs1'!G29</f>
        <v>0</v>
      </c>
      <c r="H29" s="13">
        <f>'Base de données indicateurs1'!H29</f>
        <v>0</v>
      </c>
      <c r="I29" s="13">
        <f>'Base de données indicateurs1'!I29</f>
        <v>0</v>
      </c>
      <c r="J29" s="13">
        <f>'Base de données indicateurs1'!J29</f>
        <v>0</v>
      </c>
      <c r="K29" s="13">
        <f>'Base de données indicateurs1'!K29</f>
        <v>0</v>
      </c>
      <c r="L29" s="13">
        <f>'Base de données indicateurs1'!L29</f>
        <v>0</v>
      </c>
      <c r="M29" s="13">
        <f>'Base de données indicateurs1'!M29</f>
        <v>0</v>
      </c>
      <c r="N29" s="13">
        <f>'Base de données indicateurs1'!N29</f>
        <v>0</v>
      </c>
      <c r="O29" s="13">
        <f>'Base de données indicateurs1'!O29</f>
        <v>0</v>
      </c>
      <c r="P29" s="13">
        <f>'Base de données indicateurs1'!P29</f>
        <v>0</v>
      </c>
      <c r="Q29" s="13">
        <f>'Base de données indicateurs1'!Q29</f>
        <v>0</v>
      </c>
      <c r="R29" s="13">
        <f>'Base de données indicateurs1'!R29</f>
        <v>0</v>
      </c>
      <c r="S29" s="13">
        <f>'Base de données indicateurs1'!S29</f>
        <v>0</v>
      </c>
      <c r="T29" s="13">
        <f>'Base de données indicateurs1'!T29</f>
        <v>0</v>
      </c>
      <c r="U29" s="13">
        <f>'Base de données indicateurs1'!U29</f>
        <v>0</v>
      </c>
      <c r="V29" s="13">
        <f>'Base de données indicateurs1'!V29</f>
        <v>0</v>
      </c>
      <c r="W29" s="13">
        <f>'Base de données indicateurs1'!W29</f>
        <v>0</v>
      </c>
      <c r="X29" s="13">
        <f>'Base de données indicateurs1'!X29</f>
        <v>0</v>
      </c>
      <c r="Y29" s="13">
        <f>'Base de données indicateurs1'!Y29</f>
        <v>0</v>
      </c>
      <c r="Z29" s="13">
        <f>'Base de données indicateurs1'!Z29</f>
        <v>0</v>
      </c>
      <c r="AA29" s="13">
        <f>'Base de données indicateurs1'!AA29</f>
        <v>0</v>
      </c>
      <c r="AB29" s="13">
        <f>'Base de données indicateurs1'!AB29</f>
        <v>0</v>
      </c>
      <c r="AC29" s="13">
        <f>'Base de données indicateurs1'!AC29</f>
        <v>0</v>
      </c>
      <c r="AD29" s="13">
        <f>'Base de données indicateurs1'!AD29</f>
        <v>0</v>
      </c>
      <c r="AE29" s="13">
        <f>'Base de données indicateurs1'!AE29</f>
        <v>0</v>
      </c>
      <c r="AF29" s="13">
        <f>'Base de données indicateurs1'!AF29</f>
        <v>0</v>
      </c>
      <c r="AG29" s="13">
        <f>'Base de données indicateurs1'!AG29</f>
        <v>0</v>
      </c>
      <c r="AH29" s="13">
        <f>'Base de données indicateurs1'!AH29</f>
        <v>0</v>
      </c>
      <c r="AI29" s="13">
        <f>'Base de données indicateurs1'!AI29</f>
        <v>0</v>
      </c>
      <c r="AJ29" s="13">
        <f>'Base de données indicateurs1'!AJ29</f>
        <v>0</v>
      </c>
      <c r="AK29" s="13">
        <f>'Base de données indicateurs1'!AK29</f>
        <v>0</v>
      </c>
      <c r="AL29" s="13">
        <f>'Base de données indicateurs1'!AL29</f>
        <v>0</v>
      </c>
      <c r="AM29" s="13">
        <f>'Base de données indicateurs1'!AM29</f>
        <v>0</v>
      </c>
      <c r="AN29" s="13">
        <f>'Base de données indicateurs1'!AN29</f>
        <v>0</v>
      </c>
      <c r="AO29" s="13">
        <f>'Base de données indicateurs1'!AO29</f>
        <v>0</v>
      </c>
      <c r="AP29" s="13">
        <f>'Base de données indicateurs1'!AP29</f>
        <v>0</v>
      </c>
      <c r="AQ29" s="13">
        <f>'Base de données indicateurs1'!AQ29</f>
        <v>0</v>
      </c>
      <c r="AR29" s="13">
        <f>'Base de données indicateurs1'!AR29</f>
        <v>0</v>
      </c>
      <c r="AS29" s="13">
        <f>'Base de données indicateurs1'!AS29</f>
        <v>0</v>
      </c>
      <c r="AT29" s="13">
        <f>'Base de données indicateurs1'!AT29</f>
        <v>0</v>
      </c>
      <c r="AU29" s="13">
        <f>'Base de données indicateurs1'!AU29</f>
        <v>0</v>
      </c>
      <c r="AV29" s="13">
        <f>'Base de données indicateurs1'!AV29</f>
        <v>0</v>
      </c>
      <c r="AW29" s="13">
        <f>'Base de données indicateurs1'!AW29</f>
        <v>0</v>
      </c>
      <c r="AX29" s="13">
        <f>'Base de données indicateurs1'!AX29</f>
        <v>0</v>
      </c>
      <c r="AY29" s="13">
        <f>'Base de données indicateurs1'!AY29</f>
        <v>0</v>
      </c>
      <c r="AZ29" s="13">
        <f>'Base de données indicateurs1'!AZ29</f>
        <v>0</v>
      </c>
      <c r="BA29" s="13">
        <f>'Base de données indicateurs1'!BA29</f>
        <v>0</v>
      </c>
      <c r="BB29" s="13">
        <f>'Base de données indicateurs1'!BB29</f>
        <v>0</v>
      </c>
      <c r="BC29" s="13">
        <f>'Base de données indicateurs1'!BC29</f>
        <v>0</v>
      </c>
      <c r="BD29" s="13">
        <f>'Base de données indicateurs1'!BD29</f>
        <v>0</v>
      </c>
      <c r="BE29" s="13">
        <f>'Base de données indicateurs1'!BE29</f>
        <v>0</v>
      </c>
      <c r="BF29" s="13">
        <f t="shared" si="0"/>
        <v>0</v>
      </c>
      <c r="BG29" s="13">
        <f t="shared" si="1"/>
        <v>0</v>
      </c>
      <c r="BH29" s="13">
        <f t="shared" si="2"/>
        <v>0</v>
      </c>
    </row>
    <row r="30" spans="1:60" x14ac:dyDescent="0.2">
      <c r="A30" s="162" t="s">
        <v>115</v>
      </c>
      <c r="B30" s="163" t="s">
        <v>224</v>
      </c>
      <c r="C30" s="162">
        <v>365</v>
      </c>
      <c r="D30" s="164">
        <f>'Base de données indicateurs1'!BF30</f>
        <v>21100</v>
      </c>
      <c r="E30" s="13">
        <f>'Base de données indicateurs1'!E30</f>
        <v>0</v>
      </c>
      <c r="F30" s="13">
        <f>'Base de données indicateurs1'!F30</f>
        <v>0</v>
      </c>
      <c r="G30" s="13">
        <f>'Base de données indicateurs1'!G30</f>
        <v>0</v>
      </c>
      <c r="H30" s="13">
        <f>'Base de données indicateurs1'!H30</f>
        <v>0</v>
      </c>
      <c r="I30" s="13">
        <f>'Base de données indicateurs1'!I30</f>
        <v>0</v>
      </c>
      <c r="J30" s="13">
        <f>'Base de données indicateurs1'!J30</f>
        <v>0</v>
      </c>
      <c r="K30" s="13">
        <f>'Base de données indicateurs1'!K30</f>
        <v>0</v>
      </c>
      <c r="L30" s="13">
        <f>'Base de données indicateurs1'!L30</f>
        <v>0</v>
      </c>
      <c r="M30" s="13">
        <f>'Base de données indicateurs1'!M30</f>
        <v>0</v>
      </c>
      <c r="N30" s="13">
        <f>'Base de données indicateurs1'!N30</f>
        <v>0</v>
      </c>
      <c r="O30" s="13">
        <f>'Base de données indicateurs1'!O30</f>
        <v>0</v>
      </c>
      <c r="P30" s="13">
        <f>'Base de données indicateurs1'!P30</f>
        <v>0</v>
      </c>
      <c r="Q30" s="13">
        <f>'Base de données indicateurs1'!Q30</f>
        <v>0</v>
      </c>
      <c r="R30" s="13">
        <f>'Base de données indicateurs1'!R30</f>
        <v>0</v>
      </c>
      <c r="S30" s="13">
        <f>'Base de données indicateurs1'!S30</f>
        <v>0</v>
      </c>
      <c r="T30" s="13">
        <f>'Base de données indicateurs1'!T30</f>
        <v>0</v>
      </c>
      <c r="U30" s="13">
        <f>'Base de données indicateurs1'!U30</f>
        <v>8100</v>
      </c>
      <c r="V30" s="13">
        <f>'Base de données indicateurs1'!V30</f>
        <v>0</v>
      </c>
      <c r="W30" s="13">
        <f>'Base de données indicateurs1'!W30</f>
        <v>0</v>
      </c>
      <c r="X30" s="13">
        <f>'Base de données indicateurs1'!X30</f>
        <v>0</v>
      </c>
      <c r="Y30" s="13">
        <f>'Base de données indicateurs1'!Y30</f>
        <v>0</v>
      </c>
      <c r="Z30" s="13">
        <f>'Base de données indicateurs1'!Z30</f>
        <v>0</v>
      </c>
      <c r="AA30" s="13">
        <f>'Base de données indicateurs1'!AA30</f>
        <v>0</v>
      </c>
      <c r="AB30" s="13">
        <f>'Base de données indicateurs1'!AB30</f>
        <v>0</v>
      </c>
      <c r="AC30" s="13">
        <f>'Base de données indicateurs1'!AC30</f>
        <v>0</v>
      </c>
      <c r="AD30" s="13">
        <f>'Base de données indicateurs1'!AD30</f>
        <v>0</v>
      </c>
      <c r="AE30" s="13">
        <f>'Base de données indicateurs1'!AE30</f>
        <v>0</v>
      </c>
      <c r="AF30" s="13">
        <f>'Base de données indicateurs1'!AF30</f>
        <v>0</v>
      </c>
      <c r="AG30" s="13">
        <f>'Base de données indicateurs1'!AG30</f>
        <v>0</v>
      </c>
      <c r="AH30" s="13">
        <f>'Base de données indicateurs1'!AH30</f>
        <v>0</v>
      </c>
      <c r="AI30" s="13">
        <f>'Base de données indicateurs1'!AI30</f>
        <v>0</v>
      </c>
      <c r="AJ30" s="13">
        <f>'Base de données indicateurs1'!AJ30</f>
        <v>0</v>
      </c>
      <c r="AK30" s="13">
        <f>'Base de données indicateurs1'!AK30</f>
        <v>0</v>
      </c>
      <c r="AL30" s="13">
        <f>'Base de données indicateurs1'!AL30</f>
        <v>0</v>
      </c>
      <c r="AM30" s="13">
        <f>'Base de données indicateurs1'!AM30</f>
        <v>0</v>
      </c>
      <c r="AN30" s="13">
        <f>'Base de données indicateurs1'!AN30</f>
        <v>0</v>
      </c>
      <c r="AO30" s="13">
        <f>'Base de données indicateurs1'!AO30</f>
        <v>0</v>
      </c>
      <c r="AP30" s="13">
        <f>'Base de données indicateurs1'!AP30</f>
        <v>0</v>
      </c>
      <c r="AQ30" s="13">
        <f>'Base de données indicateurs1'!AQ30</f>
        <v>0</v>
      </c>
      <c r="AR30" s="13">
        <f>'Base de données indicateurs1'!AR30</f>
        <v>0</v>
      </c>
      <c r="AS30" s="13">
        <f>'Base de données indicateurs1'!AS30</f>
        <v>0</v>
      </c>
      <c r="AT30" s="13">
        <f>'Base de données indicateurs1'!AT30</f>
        <v>0</v>
      </c>
      <c r="AU30" s="13">
        <f>'Base de données indicateurs1'!AU30</f>
        <v>0</v>
      </c>
      <c r="AV30" s="13">
        <f>'Base de données indicateurs1'!AV30</f>
        <v>0</v>
      </c>
      <c r="AW30" s="13">
        <f>'Base de données indicateurs1'!AW30</f>
        <v>0</v>
      </c>
      <c r="AX30" s="13">
        <f>'Base de données indicateurs1'!AX30</f>
        <v>0</v>
      </c>
      <c r="AY30" s="13">
        <f>'Base de données indicateurs1'!AY30</f>
        <v>0</v>
      </c>
      <c r="AZ30" s="13">
        <f>'Base de données indicateurs1'!AZ30</f>
        <v>13000</v>
      </c>
      <c r="BA30" s="13">
        <f>'Base de données indicateurs1'!BA30</f>
        <v>0</v>
      </c>
      <c r="BB30" s="13">
        <f>'Base de données indicateurs1'!BB30</f>
        <v>0</v>
      </c>
      <c r="BC30" s="13">
        <f>'Base de données indicateurs1'!BC30</f>
        <v>0</v>
      </c>
      <c r="BD30" s="13">
        <f>'Base de données indicateurs1'!BD30</f>
        <v>0</v>
      </c>
      <c r="BE30" s="13">
        <f>'Base de données indicateurs1'!BE30</f>
        <v>0</v>
      </c>
      <c r="BF30" s="13">
        <f t="shared" si="0"/>
        <v>8100</v>
      </c>
      <c r="BG30" s="13">
        <f t="shared" si="1"/>
        <v>0</v>
      </c>
      <c r="BH30" s="13">
        <f t="shared" si="2"/>
        <v>13000</v>
      </c>
    </row>
    <row r="31" spans="1:60" x14ac:dyDescent="0.2">
      <c r="A31" s="162" t="s">
        <v>534</v>
      </c>
      <c r="B31" s="163" t="s">
        <v>224</v>
      </c>
      <c r="C31" s="162">
        <v>366</v>
      </c>
      <c r="D31" s="164">
        <f>'Base de données indicateurs1'!BF31</f>
        <v>229456.08000000002</v>
      </c>
      <c r="E31" s="13">
        <f>'Base de données indicateurs1'!E31</f>
        <v>7905.29</v>
      </c>
      <c r="F31" s="13">
        <f>'Base de données indicateurs1'!F31</f>
        <v>0</v>
      </c>
      <c r="G31" s="13">
        <f>'Base de données indicateurs1'!G31</f>
        <v>0</v>
      </c>
      <c r="H31" s="13">
        <f>'Base de données indicateurs1'!H31</f>
        <v>0</v>
      </c>
      <c r="I31" s="13">
        <f>'Base de données indicateurs1'!I31</f>
        <v>1741</v>
      </c>
      <c r="J31" s="13">
        <f>'Base de données indicateurs1'!J31</f>
        <v>0</v>
      </c>
      <c r="K31" s="13">
        <f>'Base de données indicateurs1'!K31</f>
        <v>0</v>
      </c>
      <c r="L31" s="13">
        <f>'Base de données indicateurs1'!L31</f>
        <v>0</v>
      </c>
      <c r="M31" s="13">
        <f>'Base de données indicateurs1'!M31</f>
        <v>10700</v>
      </c>
      <c r="N31" s="13">
        <f>'Base de données indicateurs1'!N31</f>
        <v>0</v>
      </c>
      <c r="O31" s="13">
        <f>'Base de données indicateurs1'!O31</f>
        <v>71002.240000000005</v>
      </c>
      <c r="P31" s="13">
        <f>'Base de données indicateurs1'!P31</f>
        <v>0</v>
      </c>
      <c r="Q31" s="13">
        <f>'Base de données indicateurs1'!Q31</f>
        <v>0</v>
      </c>
      <c r="R31" s="13">
        <f>'Base de données indicateurs1'!R31</f>
        <v>0</v>
      </c>
      <c r="S31" s="13">
        <f>'Base de données indicateurs1'!S31</f>
        <v>0</v>
      </c>
      <c r="T31" s="13">
        <f>'Base de données indicateurs1'!T31</f>
        <v>0</v>
      </c>
      <c r="U31" s="13">
        <f>'Base de données indicateurs1'!U31</f>
        <v>667.55</v>
      </c>
      <c r="V31" s="13">
        <f>'Base de données indicateurs1'!V31</f>
        <v>0</v>
      </c>
      <c r="W31" s="13">
        <f>'Base de données indicateurs1'!W31</f>
        <v>133028</v>
      </c>
      <c r="X31" s="13">
        <f>'Base de données indicateurs1'!X31</f>
        <v>0</v>
      </c>
      <c r="Y31" s="13">
        <f>'Base de données indicateurs1'!Y31</f>
        <v>0</v>
      </c>
      <c r="Z31" s="13">
        <f>'Base de données indicateurs1'!Z31</f>
        <v>0</v>
      </c>
      <c r="AA31" s="13">
        <f>'Base de données indicateurs1'!AA31</f>
        <v>0</v>
      </c>
      <c r="AB31" s="13">
        <f>'Base de données indicateurs1'!AB31</f>
        <v>0</v>
      </c>
      <c r="AC31" s="13">
        <f>'Base de données indicateurs1'!AC31</f>
        <v>0</v>
      </c>
      <c r="AD31" s="13">
        <f>'Base de données indicateurs1'!AD31</f>
        <v>0</v>
      </c>
      <c r="AE31" s="13">
        <f>'Base de données indicateurs1'!AE31</f>
        <v>0</v>
      </c>
      <c r="AF31" s="13">
        <f>'Base de données indicateurs1'!AF31</f>
        <v>0</v>
      </c>
      <c r="AG31" s="13">
        <f>'Base de données indicateurs1'!AG31</f>
        <v>0</v>
      </c>
      <c r="AH31" s="13">
        <f>'Base de données indicateurs1'!AH31</f>
        <v>0</v>
      </c>
      <c r="AI31" s="13">
        <f>'Base de données indicateurs1'!AI31</f>
        <v>0</v>
      </c>
      <c r="AJ31" s="13">
        <f>'Base de données indicateurs1'!AJ31</f>
        <v>0</v>
      </c>
      <c r="AK31" s="13">
        <f>'Base de données indicateurs1'!AK31</f>
        <v>0</v>
      </c>
      <c r="AL31" s="13">
        <f>'Base de données indicateurs1'!AL31</f>
        <v>0</v>
      </c>
      <c r="AM31" s="13">
        <f>'Base de données indicateurs1'!AM31</f>
        <v>0</v>
      </c>
      <c r="AN31" s="13">
        <f>'Base de données indicateurs1'!AN31</f>
        <v>0</v>
      </c>
      <c r="AO31" s="13">
        <f>'Base de données indicateurs1'!AO31</f>
        <v>0</v>
      </c>
      <c r="AP31" s="13">
        <f>'Base de données indicateurs1'!AP31</f>
        <v>0</v>
      </c>
      <c r="AQ31" s="13">
        <f>'Base de données indicateurs1'!AQ31</f>
        <v>0</v>
      </c>
      <c r="AR31" s="13">
        <f>'Base de données indicateurs1'!AR31</f>
        <v>0</v>
      </c>
      <c r="AS31" s="13">
        <f>'Base de données indicateurs1'!AS31</f>
        <v>0</v>
      </c>
      <c r="AT31" s="13">
        <f>'Base de données indicateurs1'!AT31</f>
        <v>0</v>
      </c>
      <c r="AU31" s="13">
        <f>'Base de données indicateurs1'!AU31</f>
        <v>338</v>
      </c>
      <c r="AV31" s="13">
        <f>'Base de données indicateurs1'!AV31</f>
        <v>0</v>
      </c>
      <c r="AW31" s="13">
        <f>'Base de données indicateurs1'!AW31</f>
        <v>633</v>
      </c>
      <c r="AX31" s="13">
        <f>'Base de données indicateurs1'!AX31</f>
        <v>207</v>
      </c>
      <c r="AY31" s="13">
        <f>'Base de données indicateurs1'!AY31</f>
        <v>0</v>
      </c>
      <c r="AZ31" s="13">
        <f>'Base de données indicateurs1'!AZ31</f>
        <v>1597</v>
      </c>
      <c r="BA31" s="13">
        <f>'Base de données indicateurs1'!BA31</f>
        <v>319</v>
      </c>
      <c r="BB31" s="13">
        <f>'Base de données indicateurs1'!BB31</f>
        <v>1083</v>
      </c>
      <c r="BC31" s="13">
        <f>'Base de données indicateurs1'!BC31</f>
        <v>235</v>
      </c>
      <c r="BD31" s="13">
        <f>'Base de données indicateurs1'!BD31</f>
        <v>0</v>
      </c>
      <c r="BE31" s="13">
        <f>'Base de données indicateurs1'!BE31</f>
        <v>0</v>
      </c>
      <c r="BF31" s="13">
        <f t="shared" si="0"/>
        <v>225044.08000000002</v>
      </c>
      <c r="BG31" s="13">
        <f t="shared" si="1"/>
        <v>0</v>
      </c>
      <c r="BH31" s="13">
        <f t="shared" si="2"/>
        <v>4412</v>
      </c>
    </row>
    <row r="32" spans="1:60" ht="15" thickBot="1" x14ac:dyDescent="0.25">
      <c r="A32" s="165"/>
      <c r="B32" s="166"/>
      <c r="C32" s="165"/>
      <c r="D32" s="167"/>
      <c r="BF32" s="13"/>
      <c r="BG32" s="13"/>
      <c r="BH32" s="13"/>
    </row>
    <row r="33" spans="1:60" ht="15.75" thickBot="1" x14ac:dyDescent="0.3">
      <c r="A33" s="7" t="s">
        <v>535</v>
      </c>
      <c r="B33" s="112"/>
      <c r="C33" s="7"/>
      <c r="D33" s="168">
        <f>SUM(D26,D28:D31)-D27</f>
        <v>28754462.269999996</v>
      </c>
      <c r="E33" s="177">
        <f>SUM(E26,E28:E31)-E27</f>
        <v>314975.05999999994</v>
      </c>
      <c r="F33" s="167">
        <f t="shared" ref="F33:BE33" si="5">SUM(F26,F28:F31)-F27</f>
        <v>107707.54999999999</v>
      </c>
      <c r="G33" s="167">
        <f t="shared" si="5"/>
        <v>123886.39999999999</v>
      </c>
      <c r="H33" s="167">
        <f t="shared" si="5"/>
        <v>142596.15</v>
      </c>
      <c r="I33" s="167">
        <f t="shared" si="5"/>
        <v>1141781</v>
      </c>
      <c r="J33" s="167">
        <f t="shared" si="5"/>
        <v>1197539.2199999997</v>
      </c>
      <c r="K33" s="167">
        <f t="shared" si="5"/>
        <v>725717.25</v>
      </c>
      <c r="L33" s="167">
        <f t="shared" si="5"/>
        <v>6860928.04</v>
      </c>
      <c r="M33" s="167">
        <f t="shared" si="5"/>
        <v>631740.18000000005</v>
      </c>
      <c r="N33" s="167">
        <f t="shared" si="5"/>
        <v>55516.360000000008</v>
      </c>
      <c r="O33" s="167">
        <f t="shared" si="5"/>
        <v>1545968.1600000001</v>
      </c>
      <c r="P33" s="167">
        <f t="shared" si="5"/>
        <v>147967.31</v>
      </c>
      <c r="Q33" s="167">
        <f t="shared" si="5"/>
        <v>17650.670000000002</v>
      </c>
      <c r="R33" s="167">
        <f t="shared" si="5"/>
        <v>126407.56</v>
      </c>
      <c r="S33" s="167">
        <f t="shared" si="5"/>
        <v>170422.52</v>
      </c>
      <c r="T33" s="167">
        <f t="shared" si="5"/>
        <v>193505.79</v>
      </c>
      <c r="U33" s="167">
        <f t="shared" si="5"/>
        <v>48721.2</v>
      </c>
      <c r="V33" s="167">
        <f t="shared" si="5"/>
        <v>161048.04</v>
      </c>
      <c r="W33" s="167">
        <f t="shared" si="5"/>
        <v>1303844.78</v>
      </c>
      <c r="X33" s="167">
        <f t="shared" si="5"/>
        <v>63038.240000000005</v>
      </c>
      <c r="Y33" s="167">
        <f t="shared" si="5"/>
        <v>382619.26</v>
      </c>
      <c r="Z33" s="167">
        <f t="shared" si="5"/>
        <v>475772.29</v>
      </c>
      <c r="AA33" s="167">
        <f t="shared" si="5"/>
        <v>101530.81999999999</v>
      </c>
      <c r="AB33" s="167">
        <f t="shared" si="5"/>
        <v>164015.07999999999</v>
      </c>
      <c r="AC33" s="167">
        <f t="shared" si="5"/>
        <v>150008.91</v>
      </c>
      <c r="AD33" s="167">
        <f t="shared" si="5"/>
        <v>329373.17</v>
      </c>
      <c r="AE33" s="167">
        <f t="shared" si="5"/>
        <v>144934.10999999999</v>
      </c>
      <c r="AF33" s="167">
        <f t="shared" si="5"/>
        <v>116889.41</v>
      </c>
      <c r="AG33" s="167">
        <f t="shared" si="5"/>
        <v>625754.32999999996</v>
      </c>
      <c r="AH33" s="167">
        <f t="shared" si="5"/>
        <v>857107.72000000009</v>
      </c>
      <c r="AI33" s="167">
        <f t="shared" si="5"/>
        <v>62896</v>
      </c>
      <c r="AJ33" s="167">
        <f t="shared" si="5"/>
        <v>160312.37999999998</v>
      </c>
      <c r="AK33" s="167">
        <f t="shared" si="5"/>
        <v>528613.29</v>
      </c>
      <c r="AL33" s="167">
        <f t="shared" si="5"/>
        <v>433831</v>
      </c>
      <c r="AM33" s="167">
        <f t="shared" si="5"/>
        <v>356584.86</v>
      </c>
      <c r="AN33" s="167">
        <f t="shared" si="5"/>
        <v>55702.149999999994</v>
      </c>
      <c r="AO33" s="167">
        <f t="shared" si="5"/>
        <v>648898.91999999993</v>
      </c>
      <c r="AP33" s="167">
        <f t="shared" si="5"/>
        <v>142926.13</v>
      </c>
      <c r="AQ33" s="167">
        <f t="shared" si="5"/>
        <v>264290</v>
      </c>
      <c r="AR33" s="167">
        <f t="shared" si="5"/>
        <v>1012785.1900000001</v>
      </c>
      <c r="AS33" s="167">
        <f t="shared" si="5"/>
        <v>149408.05000000002</v>
      </c>
      <c r="AT33" s="167">
        <f t="shared" si="5"/>
        <v>336138.78</v>
      </c>
      <c r="AU33" s="167">
        <f t="shared" si="5"/>
        <v>142588.41</v>
      </c>
      <c r="AV33" s="167">
        <f t="shared" si="5"/>
        <v>957155.02</v>
      </c>
      <c r="AW33" s="167">
        <f t="shared" si="5"/>
        <v>160907.37</v>
      </c>
      <c r="AX33" s="167">
        <f t="shared" si="5"/>
        <v>36784.17</v>
      </c>
      <c r="AY33" s="167">
        <f t="shared" si="5"/>
        <v>180371.91999999998</v>
      </c>
      <c r="AZ33" s="167">
        <f t="shared" si="5"/>
        <v>814036.93</v>
      </c>
      <c r="BA33" s="167">
        <f t="shared" si="5"/>
        <v>53845.52</v>
      </c>
      <c r="BB33" s="167">
        <f t="shared" si="5"/>
        <v>417585</v>
      </c>
      <c r="BC33" s="167">
        <f t="shared" si="5"/>
        <v>20087.269999999997</v>
      </c>
      <c r="BD33" s="167">
        <f t="shared" si="5"/>
        <v>3309335.84</v>
      </c>
      <c r="BE33" s="167">
        <f t="shared" si="5"/>
        <v>80411.489999999991</v>
      </c>
      <c r="BF33" s="13">
        <f t="shared" si="0"/>
        <v>15017923.239999996</v>
      </c>
      <c r="BG33" s="13">
        <f t="shared" si="1"/>
        <v>3634251.7199999997</v>
      </c>
      <c r="BH33" s="13">
        <f t="shared" si="2"/>
        <v>10102287.309999997</v>
      </c>
    </row>
    <row r="34" spans="1:60" ht="15.75" thickBot="1" x14ac:dyDescent="0.3">
      <c r="A34" s="7"/>
      <c r="B34" s="112"/>
      <c r="C34" s="7"/>
      <c r="D34" s="167"/>
      <c r="BF34" s="13"/>
      <c r="BG34" s="13"/>
      <c r="BH34" s="13"/>
    </row>
    <row r="35" spans="1:60" ht="15.75" thickBot="1" x14ac:dyDescent="0.3">
      <c r="A35" s="7" t="s">
        <v>518</v>
      </c>
      <c r="B35" s="112"/>
      <c r="C35" s="7"/>
      <c r="D35" s="187">
        <f>'Quotité d''intéret + revenus det'!D17</f>
        <v>377953538.36000019</v>
      </c>
      <c r="E35" s="13">
        <f>'Quotité d''intéret + revenus det'!E17</f>
        <v>2605216.3000000003</v>
      </c>
      <c r="F35" s="13">
        <f>'Quotité d''intéret + revenus det'!F17</f>
        <v>1029884.8200000001</v>
      </c>
      <c r="G35" s="13">
        <f>'Quotité d''intéret + revenus det'!G17</f>
        <v>1878943.57</v>
      </c>
      <c r="H35" s="13">
        <f>'Quotité d''intéret + revenus det'!H17</f>
        <v>1884205.97</v>
      </c>
      <c r="I35" s="13">
        <f>'Quotité d''intéret + revenus det'!I17</f>
        <v>16366703</v>
      </c>
      <c r="J35" s="13">
        <f>'Quotité d''intéret + revenus det'!J17</f>
        <v>14187353.58</v>
      </c>
      <c r="K35" s="13">
        <f>'Quotité d''intéret + revenus det'!K17</f>
        <v>11806775.710000001</v>
      </c>
      <c r="L35" s="13">
        <f>'Quotité d''intéret + revenus det'!L17</f>
        <v>100901160.38</v>
      </c>
      <c r="M35" s="13">
        <f>'Quotité d''intéret + revenus det'!M17</f>
        <v>7807588.2300000004</v>
      </c>
      <c r="N35" s="13">
        <f>'Quotité d''intéret + revenus det'!N17</f>
        <v>457447.11</v>
      </c>
      <c r="O35" s="13">
        <f>'Quotité d''intéret + revenus det'!O17</f>
        <v>28576279</v>
      </c>
      <c r="P35" s="13">
        <f>'Quotité d''intéret + revenus det'!P17</f>
        <v>1163353.1099999999</v>
      </c>
      <c r="Q35" s="13">
        <f>'Quotité d''intéret + revenus det'!Q17</f>
        <v>426223.56</v>
      </c>
      <c r="R35" s="13">
        <f>'Quotité d''intéret + revenus det'!R17</f>
        <v>1063954.5</v>
      </c>
      <c r="S35" s="13">
        <f>'Quotité d''intéret + revenus det'!S17</f>
        <v>1429194.53</v>
      </c>
      <c r="T35" s="13">
        <f>'Quotité d''intéret + revenus det'!T17</f>
        <v>3398557.75</v>
      </c>
      <c r="U35" s="13">
        <f>'Quotité d''intéret + revenus det'!U17</f>
        <v>927085.47</v>
      </c>
      <c r="V35" s="13">
        <f>'Quotité d''intéret + revenus det'!V17</f>
        <v>2249440.56</v>
      </c>
      <c r="W35" s="13">
        <f>'Quotité d''intéret + revenus det'!W17</f>
        <v>12586062.1</v>
      </c>
      <c r="X35" s="13">
        <f>'Quotité d''intéret + revenus det'!X17</f>
        <v>1940302.3</v>
      </c>
      <c r="Y35" s="13">
        <f>'Quotité d''intéret + revenus det'!Y17</f>
        <v>4846822.5999999996</v>
      </c>
      <c r="Z35" s="13">
        <f>'Quotité d''intéret + revenus det'!Z17</f>
        <v>9895727.1199999992</v>
      </c>
      <c r="AA35" s="13">
        <f>'Quotité d''intéret + revenus det'!AA17</f>
        <v>57532.75</v>
      </c>
      <c r="AB35" s="13">
        <f>'Quotité d''intéret + revenus det'!AB17</f>
        <v>922509.84000000008</v>
      </c>
      <c r="AC35" s="13">
        <f>'Quotité d''intéret + revenus det'!AC17</f>
        <v>2624273.6999999997</v>
      </c>
      <c r="AD35" s="13">
        <f>'Quotité d''intéret + revenus det'!AD17</f>
        <v>1886970.12</v>
      </c>
      <c r="AE35" s="13">
        <f>'Quotité d''intéret + revenus det'!AE17</f>
        <v>2579904.71</v>
      </c>
      <c r="AF35" s="13">
        <f>'Quotité d''intéret + revenus det'!AF17</f>
        <v>2829244.9699999997</v>
      </c>
      <c r="AG35" s="13">
        <f>'Quotité d''intéret + revenus det'!AG17</f>
        <v>9934722.9600000009</v>
      </c>
      <c r="AH35" s="13">
        <f>'Quotité d''intéret + revenus det'!AH17</f>
        <v>12429495.75</v>
      </c>
      <c r="AI35" s="13">
        <f>'Quotité d''intéret + revenus det'!AI17</f>
        <v>808095</v>
      </c>
      <c r="AJ35" s="13">
        <f>'Quotité d''intéret + revenus det'!AJ17</f>
        <v>1009396.35</v>
      </c>
      <c r="AK35" s="13">
        <f>'Quotité d''intéret + revenus det'!AK17</f>
        <v>8631919.5899999999</v>
      </c>
      <c r="AL35" s="13">
        <f>'Quotité d''intéret + revenus det'!AL17</f>
        <v>5539646</v>
      </c>
      <c r="AM35" s="13">
        <f>'Quotité d''intéret + revenus det'!AM17</f>
        <v>5168495.04</v>
      </c>
      <c r="AN35" s="13">
        <f>'Quotité d''intéret + revenus det'!AN17</f>
        <v>598789.87</v>
      </c>
      <c r="AO35" s="13">
        <f>'Quotité d''intéret + revenus det'!AO17</f>
        <v>10106677.479999999</v>
      </c>
      <c r="AP35" s="13">
        <f>'Quotité d''intéret + revenus det'!AP17</f>
        <v>3591739.3000000003</v>
      </c>
      <c r="AQ35" s="13">
        <f>'Quotité d''intéret + revenus det'!AQ17</f>
        <v>2296347</v>
      </c>
      <c r="AR35" s="13">
        <f>'Quotité d''intéret + revenus det'!AR17</f>
        <v>3012290.63</v>
      </c>
      <c r="AS35" s="13">
        <f>'Quotité d''intéret + revenus det'!AS17</f>
        <v>3138918.75</v>
      </c>
      <c r="AT35" s="13">
        <f>'Quotité d''intéret + revenus det'!AT17</f>
        <v>2482174.27</v>
      </c>
      <c r="AU35" s="13">
        <f>'Quotité d''intéret + revenus det'!AU17</f>
        <v>1494437.21</v>
      </c>
      <c r="AV35" s="13">
        <f>'Quotité d''intéret + revenus det'!AV17</f>
        <v>6671285.6099999994</v>
      </c>
      <c r="AW35" s="13">
        <f>'Quotité d''intéret + revenus det'!AW17</f>
        <v>3293308.63</v>
      </c>
      <c r="AX35" s="13">
        <f>'Quotité d''intéret + revenus det'!AX17</f>
        <v>756944.85</v>
      </c>
      <c r="AY35" s="13">
        <f>'Quotité d''intéret + revenus det'!AY17</f>
        <v>1311205.6100000001</v>
      </c>
      <c r="AZ35" s="13">
        <f>'Quotité d''intéret + revenus det'!AZ17</f>
        <v>4675084.75</v>
      </c>
      <c r="BA35" s="13">
        <f>'Quotité d''intéret + revenus det'!BA17</f>
        <v>1615489.17</v>
      </c>
      <c r="BB35" s="13">
        <f>'Quotité d''intéret + revenus det'!BB17</f>
        <v>5949496</v>
      </c>
      <c r="BC35" s="13">
        <f>'Quotité d''intéret + revenus det'!BC17</f>
        <v>384450</v>
      </c>
      <c r="BD35" s="13">
        <f>'Quotité d''intéret + revenus det'!BD17</f>
        <v>42138657.090000004</v>
      </c>
      <c r="BE35" s="13">
        <f>'Quotité d''intéret + revenus det'!BE17</f>
        <v>2585754.09</v>
      </c>
      <c r="BF35" s="13">
        <f t="shared" si="0"/>
        <v>210745429.25</v>
      </c>
      <c r="BG35" s="13">
        <f t="shared" si="1"/>
        <v>51764998.170000002</v>
      </c>
      <c r="BH35" s="13">
        <f t="shared" si="2"/>
        <v>115443110.94000001</v>
      </c>
    </row>
    <row r="36" spans="1:60" ht="15" thickBot="1" x14ac:dyDescent="0.25">
      <c r="B36" s="169"/>
      <c r="D36" s="13"/>
      <c r="BF36" s="13"/>
      <c r="BG36" s="13"/>
      <c r="BH36" s="13"/>
    </row>
    <row r="37" spans="1:60" ht="15.75" thickBot="1" x14ac:dyDescent="0.3">
      <c r="A37" s="7" t="s">
        <v>536</v>
      </c>
      <c r="B37" s="169"/>
      <c r="D37" s="168">
        <f>IF(D35&lt;&gt;0,D33/D35,"")*100</f>
        <v>7.6079357253196065</v>
      </c>
      <c r="E37" s="177">
        <f>IF(E35&lt;&gt;0,E33/E35,"")*100</f>
        <v>12.090169250054204</v>
      </c>
      <c r="F37" s="167">
        <f t="shared" ref="F37:BH37" si="6">IF(F35&lt;&gt;0,F33/F35,"")*100</f>
        <v>10.458213181547814</v>
      </c>
      <c r="G37" s="167">
        <f t="shared" si="6"/>
        <v>6.5934071665600893</v>
      </c>
      <c r="H37" s="167">
        <f t="shared" si="6"/>
        <v>7.5679703955082998</v>
      </c>
      <c r="I37" s="167">
        <f t="shared" si="6"/>
        <v>6.9762431688288107</v>
      </c>
      <c r="J37" s="167">
        <f t="shared" si="6"/>
        <v>8.4408921878720076</v>
      </c>
      <c r="K37" s="167">
        <f t="shared" si="6"/>
        <v>6.1466167209845297</v>
      </c>
      <c r="L37" s="167">
        <f t="shared" si="6"/>
        <v>6.7996522677849498</v>
      </c>
      <c r="M37" s="167">
        <f t="shared" si="6"/>
        <v>8.0913613959889901</v>
      </c>
      <c r="N37" s="167">
        <f t="shared" si="6"/>
        <v>12.13612651307383</v>
      </c>
      <c r="O37" s="167">
        <f t="shared" si="6"/>
        <v>5.4099701364197914</v>
      </c>
      <c r="P37" s="167">
        <f t="shared" si="6"/>
        <v>12.719036784970644</v>
      </c>
      <c r="Q37" s="167">
        <f t="shared" si="6"/>
        <v>4.1411765224803627</v>
      </c>
      <c r="R37" s="167">
        <f t="shared" si="6"/>
        <v>11.880917840001617</v>
      </c>
      <c r="S37" s="167">
        <f t="shared" si="6"/>
        <v>11.924375333286504</v>
      </c>
      <c r="T37" s="167">
        <f t="shared" si="6"/>
        <v>5.6937620083107312</v>
      </c>
      <c r="U37" s="167">
        <f t="shared" si="6"/>
        <v>5.2553083374286942</v>
      </c>
      <c r="V37" s="167">
        <f t="shared" si="6"/>
        <v>7.1594707974857537</v>
      </c>
      <c r="W37" s="167">
        <f t="shared" si="6"/>
        <v>10.359433869311674</v>
      </c>
      <c r="X37" s="167">
        <f t="shared" si="6"/>
        <v>3.2488875573667051</v>
      </c>
      <c r="Y37" s="167">
        <f t="shared" si="6"/>
        <v>7.8942286849945784</v>
      </c>
      <c r="Z37" s="167">
        <f t="shared" si="6"/>
        <v>4.8078557970583979</v>
      </c>
      <c r="AA37" s="167">
        <f t="shared" si="6"/>
        <v>176.47482520825093</v>
      </c>
      <c r="AB37" s="167">
        <f t="shared" si="6"/>
        <v>17.779222821081234</v>
      </c>
      <c r="AC37" s="167">
        <f t="shared" si="6"/>
        <v>5.716206735600788</v>
      </c>
      <c r="AD37" s="167">
        <f t="shared" si="6"/>
        <v>17.455134371709075</v>
      </c>
      <c r="AE37" s="167">
        <f t="shared" si="6"/>
        <v>5.6178086515451184</v>
      </c>
      <c r="AF37" s="167">
        <f t="shared" si="6"/>
        <v>4.1314701003073626</v>
      </c>
      <c r="AG37" s="167">
        <f t="shared" si="6"/>
        <v>6.298659082084761</v>
      </c>
      <c r="AH37" s="167">
        <f t="shared" si="6"/>
        <v>6.8957561693522447</v>
      </c>
      <c r="AI37" s="167">
        <f t="shared" si="6"/>
        <v>7.7832433067894238</v>
      </c>
      <c r="AJ37" s="167">
        <f t="shared" si="6"/>
        <v>15.882005121179601</v>
      </c>
      <c r="AK37" s="167">
        <f t="shared" si="6"/>
        <v>6.1239366804620579</v>
      </c>
      <c r="AL37" s="167">
        <f t="shared" si="6"/>
        <v>7.8313848935473498</v>
      </c>
      <c r="AM37" s="167">
        <f t="shared" si="6"/>
        <v>6.8992009712753823</v>
      </c>
      <c r="AN37" s="167">
        <f t="shared" si="6"/>
        <v>9.3024536303528311</v>
      </c>
      <c r="AO37" s="167">
        <f t="shared" si="6"/>
        <v>6.4204969564339951</v>
      </c>
      <c r="AP37" s="167">
        <f t="shared" si="6"/>
        <v>3.9793013373771307</v>
      </c>
      <c r="AQ37" s="167">
        <f t="shared" si="6"/>
        <v>11.509149096369146</v>
      </c>
      <c r="AR37" s="167">
        <f t="shared" si="6"/>
        <v>33.621762120609198</v>
      </c>
      <c r="AS37" s="167">
        <f t="shared" si="6"/>
        <v>4.7598571960487996</v>
      </c>
      <c r="AT37" s="167">
        <f t="shared" si="6"/>
        <v>13.542110401458638</v>
      </c>
      <c r="AU37" s="167">
        <f t="shared" si="6"/>
        <v>9.5412780842093738</v>
      </c>
      <c r="AV37" s="167">
        <f t="shared" si="6"/>
        <v>14.347384836368896</v>
      </c>
      <c r="AW37" s="167">
        <f t="shared" si="6"/>
        <v>4.8858879648944411</v>
      </c>
      <c r="AX37" s="167">
        <f t="shared" si="6"/>
        <v>4.8595574697416852</v>
      </c>
      <c r="AY37" s="167">
        <f t="shared" si="6"/>
        <v>13.756188855842369</v>
      </c>
      <c r="AZ37" s="167">
        <f t="shared" si="6"/>
        <v>17.412238997378605</v>
      </c>
      <c r="BA37" s="167">
        <f t="shared" si="6"/>
        <v>3.3330783641217478</v>
      </c>
      <c r="BB37" s="167">
        <f t="shared" si="6"/>
        <v>7.0188298302915069</v>
      </c>
      <c r="BC37" s="167">
        <f t="shared" si="6"/>
        <v>5.2249369228768359</v>
      </c>
      <c r="BD37" s="167">
        <f t="shared" si="6"/>
        <v>7.8534440073206406</v>
      </c>
      <c r="BE37" s="167">
        <f t="shared" si="6"/>
        <v>3.1097887579866494</v>
      </c>
      <c r="BF37" s="167">
        <f t="shared" si="6"/>
        <v>7.1260967763076621</v>
      </c>
      <c r="BG37" s="167">
        <f t="shared" si="6"/>
        <v>7.0206739080041185</v>
      </c>
      <c r="BH37" s="167">
        <f t="shared" si="6"/>
        <v>8.7508793099403945</v>
      </c>
    </row>
    <row r="38" spans="1:60" x14ac:dyDescent="0.2">
      <c r="A38" s="173" t="s">
        <v>537</v>
      </c>
      <c r="B38" s="169"/>
      <c r="D38" s="13"/>
    </row>
    <row r="39" spans="1:60" x14ac:dyDescent="0.2">
      <c r="D39" s="13"/>
    </row>
    <row r="40" spans="1:60" x14ac:dyDescent="0.2">
      <c r="D40" s="13"/>
    </row>
  </sheetData>
  <mergeCells count="1">
    <mergeCell ref="A2:D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43"/>
  <sheetViews>
    <sheetView workbookViewId="0">
      <pane xSplit="4" ySplit="5" topLeftCell="BC6" activePane="bottomRight" state="frozen"/>
      <selection activeCell="BD45" sqref="BD45"/>
      <selection pane="topRight" activeCell="BD45" sqref="BD45"/>
      <selection pane="bottomLeft" activeCell="BD45" sqref="BD45"/>
      <selection pane="bottomRight" activeCell="BD45" sqref="BD45"/>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2" spans="1:63" ht="18" x14ac:dyDescent="0.25">
      <c r="A2" s="219" t="s">
        <v>491</v>
      </c>
      <c r="B2" s="219"/>
      <c r="C2" s="219"/>
      <c r="D2" s="219"/>
    </row>
    <row r="4" spans="1:63" ht="15" x14ac:dyDescent="0.25">
      <c r="A4" s="7" t="s">
        <v>538</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251</v>
      </c>
      <c r="B6" s="160" t="s">
        <v>224</v>
      </c>
      <c r="C6" s="188">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c r="BK6" s="13"/>
    </row>
    <row r="7" spans="1:63"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c r="BK7" s="13"/>
    </row>
    <row r="8" spans="1:63" ht="15" thickBot="1" x14ac:dyDescent="0.25">
      <c r="A8" s="165"/>
      <c r="B8" s="166"/>
      <c r="C8" s="165"/>
      <c r="D8" s="167"/>
      <c r="BF8" s="13"/>
      <c r="BG8" s="13"/>
      <c r="BH8" s="13"/>
      <c r="BK8" s="13"/>
    </row>
    <row r="9" spans="1:63"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c r="BK9" s="13"/>
    </row>
    <row r="10" spans="1:63" ht="15" thickBot="1" x14ac:dyDescent="0.25">
      <c r="B10" s="169"/>
      <c r="D10" s="13"/>
      <c r="BF10" s="13"/>
      <c r="BG10" s="13"/>
      <c r="BH10" s="13"/>
      <c r="BK10" s="13"/>
    </row>
    <row r="11" spans="1:63" ht="15.75" thickBot="1" x14ac:dyDescent="0.3">
      <c r="A11" s="7" t="s">
        <v>539</v>
      </c>
      <c r="B11" s="169"/>
      <c r="D11" s="189">
        <f>'Base de données indicateurs1'!BF3</f>
        <v>73865</v>
      </c>
      <c r="E11" s="69">
        <f>E4</f>
        <v>951</v>
      </c>
      <c r="F11" s="69">
        <f t="shared" ref="F11:BE11" si="4">F4</f>
        <v>258</v>
      </c>
      <c r="G11" s="69">
        <f t="shared" si="4"/>
        <v>471</v>
      </c>
      <c r="H11" s="69">
        <f t="shared" si="4"/>
        <v>441</v>
      </c>
      <c r="I11" s="69">
        <f t="shared" si="4"/>
        <v>3686</v>
      </c>
      <c r="J11" s="69">
        <f t="shared" si="4"/>
        <v>3313</v>
      </c>
      <c r="K11" s="69">
        <f t="shared" si="4"/>
        <v>2654</v>
      </c>
      <c r="L11" s="69">
        <f t="shared" si="4"/>
        <v>12636</v>
      </c>
      <c r="M11" s="69">
        <f t="shared" si="4"/>
        <v>1360</v>
      </c>
      <c r="N11" s="69">
        <f t="shared" si="4"/>
        <v>112</v>
      </c>
      <c r="O11" s="69">
        <f t="shared" si="4"/>
        <v>7319</v>
      </c>
      <c r="P11" s="69">
        <f t="shared" si="4"/>
        <v>522</v>
      </c>
      <c r="Q11" s="69">
        <f t="shared" si="4"/>
        <v>106</v>
      </c>
      <c r="R11" s="69">
        <f t="shared" si="4"/>
        <v>425</v>
      </c>
      <c r="S11" s="69">
        <f t="shared" si="4"/>
        <v>350</v>
      </c>
      <c r="T11" s="69">
        <f t="shared" si="4"/>
        <v>733</v>
      </c>
      <c r="U11" s="69">
        <f t="shared" si="4"/>
        <v>270</v>
      </c>
      <c r="V11" s="69">
        <f t="shared" si="4"/>
        <v>417</v>
      </c>
      <c r="W11" s="69">
        <f t="shared" si="4"/>
        <v>3285</v>
      </c>
      <c r="X11" s="69">
        <f t="shared" si="4"/>
        <v>308</v>
      </c>
      <c r="Y11" s="69">
        <f t="shared" si="4"/>
        <v>1258</v>
      </c>
      <c r="Z11" s="69">
        <f t="shared" si="4"/>
        <v>1524</v>
      </c>
      <c r="AA11" s="69">
        <f t="shared" si="4"/>
        <v>87</v>
      </c>
      <c r="AB11" s="69">
        <f t="shared" si="4"/>
        <v>156</v>
      </c>
      <c r="AC11" s="69">
        <f t="shared" si="4"/>
        <v>510</v>
      </c>
      <c r="AD11" s="69">
        <f t="shared" si="4"/>
        <v>705</v>
      </c>
      <c r="AE11" s="69">
        <f t="shared" si="4"/>
        <v>551</v>
      </c>
      <c r="AF11" s="69">
        <f t="shared" si="4"/>
        <v>511</v>
      </c>
      <c r="AG11" s="69">
        <f t="shared" si="4"/>
        <v>1902</v>
      </c>
      <c r="AH11" s="69">
        <f t="shared" si="4"/>
        <v>2575</v>
      </c>
      <c r="AI11" s="69">
        <f t="shared" si="4"/>
        <v>228</v>
      </c>
      <c r="AJ11" s="69">
        <f t="shared" si="4"/>
        <v>118</v>
      </c>
      <c r="AK11" s="69">
        <f t="shared" si="4"/>
        <v>1882</v>
      </c>
      <c r="AL11" s="69">
        <f t="shared" si="4"/>
        <v>1114</v>
      </c>
      <c r="AM11" s="69">
        <f t="shared" si="4"/>
        <v>1217</v>
      </c>
      <c r="AN11" s="69">
        <f t="shared" si="4"/>
        <v>117</v>
      </c>
      <c r="AO11" s="69">
        <f t="shared" si="4"/>
        <v>1205</v>
      </c>
      <c r="AP11" s="69">
        <f t="shared" si="4"/>
        <v>625</v>
      </c>
      <c r="AQ11" s="69">
        <f t="shared" si="4"/>
        <v>631</v>
      </c>
      <c r="AR11" s="69">
        <f t="shared" si="4"/>
        <v>1275</v>
      </c>
      <c r="AS11" s="69">
        <f t="shared" si="4"/>
        <v>718</v>
      </c>
      <c r="AT11" s="69">
        <f t="shared" si="4"/>
        <v>1018</v>
      </c>
      <c r="AU11" s="69">
        <f t="shared" si="4"/>
        <v>293</v>
      </c>
      <c r="AV11" s="69">
        <f t="shared" si="4"/>
        <v>2435</v>
      </c>
      <c r="AW11" s="69">
        <f t="shared" si="4"/>
        <v>786</v>
      </c>
      <c r="AX11" s="69">
        <f t="shared" si="4"/>
        <v>184</v>
      </c>
      <c r="AY11" s="69">
        <f t="shared" si="4"/>
        <v>333</v>
      </c>
      <c r="AZ11" s="69">
        <f t="shared" si="4"/>
        <v>1674</v>
      </c>
      <c r="BA11" s="69">
        <f t="shared" si="4"/>
        <v>391</v>
      </c>
      <c r="BB11" s="69">
        <f t="shared" si="4"/>
        <v>1052</v>
      </c>
      <c r="BC11" s="69">
        <f t="shared" si="4"/>
        <v>186</v>
      </c>
      <c r="BD11" s="69">
        <f t="shared" si="4"/>
        <v>6441</v>
      </c>
      <c r="BE11" s="69">
        <f t="shared" si="4"/>
        <v>546</v>
      </c>
      <c r="BF11" s="13">
        <f t="shared" si="0"/>
        <v>39309</v>
      </c>
      <c r="BG11" s="13">
        <f t="shared" si="1"/>
        <v>10433</v>
      </c>
      <c r="BH11" s="13">
        <f t="shared" si="2"/>
        <v>24123</v>
      </c>
      <c r="BK11" s="13"/>
    </row>
    <row r="12" spans="1:63" ht="15" thickBot="1" x14ac:dyDescent="0.25">
      <c r="A12" s="173"/>
      <c r="B12" s="169"/>
      <c r="D12" s="13"/>
      <c r="BF12" s="13"/>
      <c r="BG12" s="13"/>
      <c r="BH12" s="13"/>
      <c r="BK12" s="13"/>
    </row>
    <row r="13" spans="1:63" ht="15.75" thickBot="1" x14ac:dyDescent="0.3">
      <c r="A13" s="7" t="s">
        <v>540</v>
      </c>
      <c r="B13" s="169"/>
      <c r="D13" s="168">
        <f>IF(D11="","",D9/D11)</f>
        <v>4065.5557827117036</v>
      </c>
      <c r="E13" s="177">
        <f>IF(E11="","",E9/E11)</f>
        <v>4574.2561619348062</v>
      </c>
      <c r="F13" s="167">
        <f t="shared" ref="F13:BH13" si="5">IF(F11="","",F9/F11)</f>
        <v>5233.6222868217064</v>
      </c>
      <c r="G13" s="167">
        <f t="shared" si="5"/>
        <v>4904.8819320594494</v>
      </c>
      <c r="H13" s="167">
        <f t="shared" si="5"/>
        <v>67.076643990929284</v>
      </c>
      <c r="I13" s="167">
        <f t="shared" si="5"/>
        <v>2874.7699403147044</v>
      </c>
      <c r="J13" s="167">
        <f t="shared" si="5"/>
        <v>5000.8258285541815</v>
      </c>
      <c r="K13" s="167">
        <f t="shared" si="5"/>
        <v>-161.76240015071596</v>
      </c>
      <c r="L13" s="167">
        <f t="shared" si="5"/>
        <v>8188.4824746755312</v>
      </c>
      <c r="M13" s="167">
        <f t="shared" si="5"/>
        <v>3027.6647573529413</v>
      </c>
      <c r="N13" s="167">
        <f t="shared" si="5"/>
        <v>6958.3086607142841</v>
      </c>
      <c r="O13" s="167">
        <f t="shared" si="5"/>
        <v>3974.6508020221345</v>
      </c>
      <c r="P13" s="167">
        <f t="shared" si="5"/>
        <v>2473.1489080459769</v>
      </c>
      <c r="Q13" s="167">
        <f t="shared" si="5"/>
        <v>-163.71839622641588</v>
      </c>
      <c r="R13" s="167">
        <f t="shared" si="5"/>
        <v>3865.2668705882352</v>
      </c>
      <c r="S13" s="167">
        <f t="shared" si="5"/>
        <v>4326.068885714285</v>
      </c>
      <c r="T13" s="167">
        <f t="shared" si="5"/>
        <v>-616.25560709413287</v>
      </c>
      <c r="U13" s="167">
        <f t="shared" si="5"/>
        <v>1659.8028148148148</v>
      </c>
      <c r="V13" s="167">
        <f t="shared" si="5"/>
        <v>4591.3111990407679</v>
      </c>
      <c r="W13" s="167">
        <f t="shared" si="5"/>
        <v>3479.8464048706237</v>
      </c>
      <c r="X13" s="167">
        <f t="shared" si="5"/>
        <v>-3555.6120779220778</v>
      </c>
      <c r="Y13" s="167">
        <f t="shared" si="5"/>
        <v>4534.3110969793324</v>
      </c>
      <c r="Z13" s="167">
        <f t="shared" si="5"/>
        <v>-9006.9305511811035</v>
      </c>
      <c r="AA13" s="167">
        <f t="shared" si="5"/>
        <v>1031.2936781609187</v>
      </c>
      <c r="AB13" s="167">
        <f t="shared" si="5"/>
        <v>-1352.72314102564</v>
      </c>
      <c r="AC13" s="167">
        <f t="shared" si="5"/>
        <v>2798.121333333333</v>
      </c>
      <c r="AD13" s="167">
        <f t="shared" si="5"/>
        <v>8131.4058014184393</v>
      </c>
      <c r="AE13" s="167">
        <f t="shared" si="5"/>
        <v>3649.8622686025406</v>
      </c>
      <c r="AF13" s="167">
        <f t="shared" si="5"/>
        <v>-4436.5897455968689</v>
      </c>
      <c r="AG13" s="167">
        <f t="shared" si="5"/>
        <v>-1260.6260935856999</v>
      </c>
      <c r="AH13" s="167">
        <f t="shared" si="5"/>
        <v>2747.4647611650485</v>
      </c>
      <c r="AI13" s="167">
        <f t="shared" si="5"/>
        <v>-1029.706359649123</v>
      </c>
      <c r="AJ13" s="167">
        <f t="shared" si="5"/>
        <v>-9989.2212711864413</v>
      </c>
      <c r="AK13" s="167">
        <f t="shared" si="5"/>
        <v>6186.0512274176408</v>
      </c>
      <c r="AL13" s="167">
        <f t="shared" si="5"/>
        <v>3308.2047127468591</v>
      </c>
      <c r="AM13" s="167">
        <f t="shared" si="5"/>
        <v>5351.1572144617912</v>
      </c>
      <c r="AN13" s="167">
        <f t="shared" si="5"/>
        <v>7536.3705982905994</v>
      </c>
      <c r="AO13" s="167">
        <f t="shared" si="5"/>
        <v>-4432.7544647302893</v>
      </c>
      <c r="AP13" s="167">
        <f t="shared" si="5"/>
        <v>3179.1610879999994</v>
      </c>
      <c r="AQ13" s="167">
        <f t="shared" si="5"/>
        <v>3666.6212361331222</v>
      </c>
      <c r="AR13" s="167">
        <f t="shared" si="5"/>
        <v>372.4978431372549</v>
      </c>
      <c r="AS13" s="167">
        <f t="shared" si="5"/>
        <v>4299.2539554317555</v>
      </c>
      <c r="AT13" s="167">
        <f t="shared" si="5"/>
        <v>5739.3504322200397</v>
      </c>
      <c r="AU13" s="167">
        <f t="shared" si="5"/>
        <v>-2508.6794197952227</v>
      </c>
      <c r="AV13" s="167">
        <f t="shared" si="5"/>
        <v>3569.7417453798762</v>
      </c>
      <c r="AW13" s="167">
        <f t="shared" si="5"/>
        <v>3511.0530661577614</v>
      </c>
      <c r="AX13" s="167">
        <f t="shared" si="5"/>
        <v>1073.5923913043478</v>
      </c>
      <c r="AY13" s="167">
        <f t="shared" si="5"/>
        <v>-469.30891891891923</v>
      </c>
      <c r="AZ13" s="167">
        <f t="shared" si="5"/>
        <v>9038.4535125448019</v>
      </c>
      <c r="BA13" s="167">
        <f t="shared" si="5"/>
        <v>131.95230179028158</v>
      </c>
      <c r="BB13" s="167">
        <f t="shared" si="5"/>
        <v>5467.124524714829</v>
      </c>
      <c r="BC13" s="167">
        <f t="shared" si="5"/>
        <v>-1836.9855376344083</v>
      </c>
      <c r="BD13" s="167">
        <f t="shared" si="5"/>
        <v>7005.4984086322002</v>
      </c>
      <c r="BE13" s="167">
        <f t="shared" si="5"/>
        <v>3317.7912454212465</v>
      </c>
      <c r="BF13" s="167">
        <f t="shared" si="5"/>
        <v>4833.6227591645675</v>
      </c>
      <c r="BG13" s="167">
        <f t="shared" si="5"/>
        <v>88.981108981117288</v>
      </c>
      <c r="BH13" s="167">
        <f t="shared" si="5"/>
        <v>4533.808437590681</v>
      </c>
      <c r="BK13" s="13"/>
    </row>
    <row r="14" spans="1:63" x14ac:dyDescent="0.2">
      <c r="A14" s="173" t="s">
        <v>541</v>
      </c>
      <c r="B14" s="169"/>
      <c r="D14" s="13"/>
      <c r="BF14" s="13"/>
      <c r="BG14" s="13"/>
      <c r="BH14" s="13"/>
      <c r="BK14" s="13"/>
    </row>
    <row r="15" spans="1:63" x14ac:dyDescent="0.2">
      <c r="A15" s="173"/>
      <c r="B15" s="169"/>
      <c r="D15" s="13"/>
      <c r="BF15" s="13"/>
      <c r="BG15" s="13"/>
      <c r="BH15" s="13"/>
      <c r="BK15" s="13"/>
    </row>
    <row r="16" spans="1:63" ht="15" x14ac:dyDescent="0.25">
      <c r="A16" s="7" t="s">
        <v>542</v>
      </c>
      <c r="B16" s="158"/>
      <c r="C16" s="33" t="s">
        <v>493</v>
      </c>
      <c r="D16" s="186" t="s">
        <v>494</v>
      </c>
      <c r="BF16" s="13"/>
      <c r="BG16" s="13"/>
      <c r="BH16" s="13"/>
      <c r="BK16" s="13"/>
    </row>
    <row r="17" spans="1:63" ht="15" thickBot="1" x14ac:dyDescent="0.25">
      <c r="B17" s="158"/>
      <c r="D17" s="13"/>
      <c r="BF17" s="13"/>
      <c r="BG17" s="13"/>
      <c r="BH17" s="13"/>
      <c r="BK17" s="13"/>
    </row>
    <row r="18" spans="1:63" ht="15.75" thickBot="1" x14ac:dyDescent="0.3">
      <c r="A18" s="7" t="s">
        <v>543</v>
      </c>
      <c r="D18" s="168">
        <f>'Endett. net + degré d''auto.'!D35</f>
        <v>30452873.009999998</v>
      </c>
      <c r="E18" s="13">
        <f>'Endett. net + degré d''auto.'!E35</f>
        <v>79219.329999999973</v>
      </c>
      <c r="F18" s="13">
        <f>'Endett. net + degré d''auto.'!F35</f>
        <v>-125472.41999999998</v>
      </c>
      <c r="G18" s="13">
        <f>'Endett. net + degré d''auto.'!G35</f>
        <v>360193.97000000003</v>
      </c>
      <c r="H18" s="13">
        <f>'Endett. net + degré d''auto.'!H35</f>
        <v>38274.29</v>
      </c>
      <c r="I18" s="13">
        <f>'Endett. net + degré d''auto.'!I35</f>
        <v>1324905.95</v>
      </c>
      <c r="J18" s="13">
        <f>'Endett. net + degré d''auto.'!J35</f>
        <v>1125365.67</v>
      </c>
      <c r="K18" s="13">
        <f>'Endett. net + degré d''auto.'!K35</f>
        <v>1180036.82</v>
      </c>
      <c r="L18" s="13">
        <f>'Endett. net + degré d''auto.'!L35</f>
        <v>2391598.3299999996</v>
      </c>
      <c r="M18" s="13">
        <f>'Endett. net + degré d''auto.'!M35</f>
        <v>-98287.840000000026</v>
      </c>
      <c r="N18" s="13">
        <f>'Endett. net + degré d''auto.'!N35</f>
        <v>74900.3</v>
      </c>
      <c r="O18" s="13">
        <f>'Endett. net + degré d''auto.'!O35</f>
        <v>2800717.16</v>
      </c>
      <c r="P18" s="13">
        <f>'Endett. net + degré d''auto.'!P35</f>
        <v>6750.0799999999981</v>
      </c>
      <c r="Q18" s="13">
        <f>'Endett. net + degré d''auto.'!Q35</f>
        <v>39958.61</v>
      </c>
      <c r="R18" s="13">
        <f>'Endett. net + degré d''auto.'!R35</f>
        <v>53775.94</v>
      </c>
      <c r="S18" s="13">
        <f>'Endett. net + degré d''auto.'!S35</f>
        <v>2693.3199999999779</v>
      </c>
      <c r="T18" s="13">
        <f>'Endett. net + degré d''auto.'!T35</f>
        <v>336712.27999999997</v>
      </c>
      <c r="U18" s="13">
        <f>'Endett. net + degré d''auto.'!U35</f>
        <v>-44233.19</v>
      </c>
      <c r="V18" s="13">
        <f>'Endett. net + degré d''auto.'!V35</f>
        <v>104905.87000000001</v>
      </c>
      <c r="W18" s="13">
        <f>'Endett. net + degré d''auto.'!W35</f>
        <v>1940810.4300000002</v>
      </c>
      <c r="X18" s="13">
        <f>'Endett. net + degré d''auto.'!X35</f>
        <v>101563.76999999999</v>
      </c>
      <c r="Y18" s="13">
        <f>'Endett. net + degré d''auto.'!Y35</f>
        <v>1050199.27</v>
      </c>
      <c r="Z18" s="13">
        <f>'Endett. net + degré d''auto.'!Z35</f>
        <v>3351462.38</v>
      </c>
      <c r="AA18" s="13">
        <f>'Endett. net + degré d''auto.'!AA35</f>
        <v>-5526.0000000000091</v>
      </c>
      <c r="AB18" s="13">
        <f>'Endett. net + degré d''auto.'!AB35</f>
        <v>75351.459999999963</v>
      </c>
      <c r="AC18" s="13">
        <f>'Endett. net + degré d''auto.'!AC35</f>
        <v>113794.14</v>
      </c>
      <c r="AD18" s="13">
        <f>'Endett. net + degré d''auto.'!AD35</f>
        <v>252975.03999999998</v>
      </c>
      <c r="AE18" s="13">
        <f>'Endett. net + degré d''auto.'!AE35</f>
        <v>-119609.33999999998</v>
      </c>
      <c r="AF18" s="13">
        <f>'Endett. net + degré d''auto.'!AF35</f>
        <v>-108373.7</v>
      </c>
      <c r="AG18" s="13">
        <f>'Endett. net + degré d''auto.'!AG35</f>
        <v>1155426.28</v>
      </c>
      <c r="AH18" s="13">
        <f>'Endett. net + degré d''auto.'!AH35</f>
        <v>1288993.95</v>
      </c>
      <c r="AI18" s="13">
        <f>'Endett. net + degré d''auto.'!AI35</f>
        <v>112597.11</v>
      </c>
      <c r="AJ18" s="13">
        <f>'Endett. net + degré d''auto.'!AJ35</f>
        <v>131867.22999999998</v>
      </c>
      <c r="AK18" s="13">
        <f>'Endett. net + degré d''auto.'!AK35</f>
        <v>1410963.8900000001</v>
      </c>
      <c r="AL18" s="13">
        <f>'Endett. net + degré d''auto.'!AL35</f>
        <v>439840</v>
      </c>
      <c r="AM18" s="13">
        <f>'Endett. net + degré d''auto.'!AM35</f>
        <v>228942.06</v>
      </c>
      <c r="AN18" s="13">
        <f>'Endett. net + degré d''auto.'!AN35</f>
        <v>40757.96</v>
      </c>
      <c r="AO18" s="13">
        <f>'Endett. net + degré d''auto.'!AO35</f>
        <v>2553182.71</v>
      </c>
      <c r="AP18" s="13">
        <f>'Endett. net + degré d''auto.'!AP35</f>
        <v>82332.509999999995</v>
      </c>
      <c r="AQ18" s="13">
        <f>'Endett. net + degré d''auto.'!AQ35</f>
        <v>-9368</v>
      </c>
      <c r="AR18" s="13">
        <f>'Endett. net + degré d''auto.'!AR35</f>
        <v>387597.95999999996</v>
      </c>
      <c r="AS18" s="13">
        <f>'Endett. net + degré d''auto.'!AS35</f>
        <v>360231.08000000007</v>
      </c>
      <c r="AT18" s="13">
        <f>'Endett. net + degré d''auto.'!AT35</f>
        <v>238050.64999999997</v>
      </c>
      <c r="AU18" s="13">
        <f>'Endett. net + degré d''auto.'!AU35</f>
        <v>-192570.18</v>
      </c>
      <c r="AV18" s="13">
        <f>'Endett. net + degré d''auto.'!AV35</f>
        <v>862700.89999999991</v>
      </c>
      <c r="AW18" s="13">
        <f>'Endett. net + degré d''auto.'!AW35</f>
        <v>372341.33</v>
      </c>
      <c r="AX18" s="13">
        <f>'Endett. net + degré d''auto.'!AX35</f>
        <v>-16147.379999999997</v>
      </c>
      <c r="AY18" s="13">
        <f>'Endett. net + degré d''auto.'!AY35</f>
        <v>87845.56</v>
      </c>
      <c r="AZ18" s="13">
        <f>'Endett. net + degré d''auto.'!AZ35</f>
        <v>381830.6</v>
      </c>
      <c r="BA18" s="13">
        <f>'Endett. net + degré d''auto.'!BA35</f>
        <v>44166.130000000005</v>
      </c>
      <c r="BB18" s="13">
        <f>'Endett. net + degré d''auto.'!BB35</f>
        <v>796357</v>
      </c>
      <c r="BC18" s="13">
        <f>'Endett. net + degré d''auto.'!BC35</f>
        <v>27300.52</v>
      </c>
      <c r="BD18" s="13">
        <f>'Endett. net + degré d''auto.'!BD35</f>
        <v>3262627.7</v>
      </c>
      <c r="BE18" s="13">
        <f>'Endett. net + degré d''auto.'!BE35</f>
        <v>100343.52000000002</v>
      </c>
      <c r="BF18" s="13">
        <f t="shared" si="0"/>
        <v>11592824.899999997</v>
      </c>
      <c r="BG18" s="13">
        <f t="shared" si="1"/>
        <v>7400721.5899999999</v>
      </c>
      <c r="BH18" s="13">
        <f t="shared" si="2"/>
        <v>11459326.52</v>
      </c>
      <c r="BK18" s="13"/>
    </row>
    <row r="19" spans="1:63" ht="15.75" thickBot="1" x14ac:dyDescent="0.3">
      <c r="A19" s="7"/>
      <c r="D19" s="13"/>
      <c r="BF19" s="13"/>
      <c r="BG19" s="13"/>
      <c r="BH19" s="13"/>
      <c r="BK19" s="13"/>
    </row>
    <row r="20" spans="1:63" ht="15.75" thickBot="1" x14ac:dyDescent="0.3">
      <c r="A20" s="7" t="s">
        <v>518</v>
      </c>
      <c r="D20" s="168">
        <f>'Quotité d''intéret + revenus det'!D17</f>
        <v>377953538.36000019</v>
      </c>
      <c r="E20" s="13">
        <f>'Quotité d''intéret + revenus det'!E17</f>
        <v>2605216.3000000003</v>
      </c>
      <c r="F20" s="13">
        <f>'Quotité d''intéret + revenus det'!F17</f>
        <v>1029884.8200000001</v>
      </c>
      <c r="G20" s="13">
        <f>'Quotité d''intéret + revenus det'!G17</f>
        <v>1878943.57</v>
      </c>
      <c r="H20" s="13">
        <f>'Quotité d''intéret + revenus det'!H17</f>
        <v>1884205.97</v>
      </c>
      <c r="I20" s="13">
        <f>'Quotité d''intéret + revenus det'!I17</f>
        <v>16366703</v>
      </c>
      <c r="J20" s="13">
        <f>'Quotité d''intéret + revenus det'!J17</f>
        <v>14187353.58</v>
      </c>
      <c r="K20" s="13">
        <f>'Quotité d''intéret + revenus det'!K17</f>
        <v>11806775.710000001</v>
      </c>
      <c r="L20" s="13">
        <f>'Quotité d''intéret + revenus det'!L17</f>
        <v>100901160.38</v>
      </c>
      <c r="M20" s="13">
        <f>'Quotité d''intéret + revenus det'!M17</f>
        <v>7807588.2300000004</v>
      </c>
      <c r="N20" s="13">
        <f>'Quotité d''intéret + revenus det'!N17</f>
        <v>457447.11</v>
      </c>
      <c r="O20" s="13">
        <f>'Quotité d''intéret + revenus det'!O17</f>
        <v>28576279</v>
      </c>
      <c r="P20" s="13">
        <f>'Quotité d''intéret + revenus det'!P17</f>
        <v>1163353.1099999999</v>
      </c>
      <c r="Q20" s="13">
        <f>'Quotité d''intéret + revenus det'!Q17</f>
        <v>426223.56</v>
      </c>
      <c r="R20" s="13">
        <f>'Quotité d''intéret + revenus det'!R17</f>
        <v>1063954.5</v>
      </c>
      <c r="S20" s="13">
        <f>'Quotité d''intéret + revenus det'!S17</f>
        <v>1429194.53</v>
      </c>
      <c r="T20" s="13">
        <f>'Quotité d''intéret + revenus det'!T17</f>
        <v>3398557.75</v>
      </c>
      <c r="U20" s="13">
        <f>'Quotité d''intéret + revenus det'!U17</f>
        <v>927085.47</v>
      </c>
      <c r="V20" s="13">
        <f>'Quotité d''intéret + revenus det'!V17</f>
        <v>2249440.56</v>
      </c>
      <c r="W20" s="13">
        <f>'Quotité d''intéret + revenus det'!W17</f>
        <v>12586062.1</v>
      </c>
      <c r="X20" s="13">
        <f>'Quotité d''intéret + revenus det'!X17</f>
        <v>1940302.3</v>
      </c>
      <c r="Y20" s="13">
        <f>'Quotité d''intéret + revenus det'!Y17</f>
        <v>4846822.5999999996</v>
      </c>
      <c r="Z20" s="13">
        <f>'Quotité d''intéret + revenus det'!Z17</f>
        <v>9895727.1199999992</v>
      </c>
      <c r="AA20" s="13">
        <f>'Quotité d''intéret + revenus det'!AA17</f>
        <v>57532.75</v>
      </c>
      <c r="AB20" s="13">
        <f>'Quotité d''intéret + revenus det'!AB17</f>
        <v>922509.84000000008</v>
      </c>
      <c r="AC20" s="13">
        <f>'Quotité d''intéret + revenus det'!AC17</f>
        <v>2624273.6999999997</v>
      </c>
      <c r="AD20" s="13">
        <f>'Quotité d''intéret + revenus det'!AD17</f>
        <v>1886970.12</v>
      </c>
      <c r="AE20" s="13">
        <f>'Quotité d''intéret + revenus det'!AE17</f>
        <v>2579904.71</v>
      </c>
      <c r="AF20" s="13">
        <f>'Quotité d''intéret + revenus det'!AF17</f>
        <v>2829244.9699999997</v>
      </c>
      <c r="AG20" s="13">
        <f>'Quotité d''intéret + revenus det'!AG17</f>
        <v>9934722.9600000009</v>
      </c>
      <c r="AH20" s="13">
        <f>'Quotité d''intéret + revenus det'!AH17</f>
        <v>12429495.75</v>
      </c>
      <c r="AI20" s="13">
        <f>'Quotité d''intéret + revenus det'!AI17</f>
        <v>808095</v>
      </c>
      <c r="AJ20" s="13">
        <f>'Quotité d''intéret + revenus det'!AJ17</f>
        <v>1009396.35</v>
      </c>
      <c r="AK20" s="13">
        <f>'Quotité d''intéret + revenus det'!AK17</f>
        <v>8631919.5899999999</v>
      </c>
      <c r="AL20" s="13">
        <f>'Quotité d''intéret + revenus det'!AL17</f>
        <v>5539646</v>
      </c>
      <c r="AM20" s="13">
        <f>'Quotité d''intéret + revenus det'!AM17</f>
        <v>5168495.04</v>
      </c>
      <c r="AN20" s="13">
        <f>'Quotité d''intéret + revenus det'!AN17</f>
        <v>598789.87</v>
      </c>
      <c r="AO20" s="13">
        <f>'Quotité d''intéret + revenus det'!AO17</f>
        <v>10106677.479999999</v>
      </c>
      <c r="AP20" s="13">
        <f>'Quotité d''intéret + revenus det'!AP17</f>
        <v>3591739.3000000003</v>
      </c>
      <c r="AQ20" s="13">
        <f>'Quotité d''intéret + revenus det'!AQ17</f>
        <v>2296347</v>
      </c>
      <c r="AR20" s="13">
        <f>'Quotité d''intéret + revenus det'!AR17</f>
        <v>3012290.63</v>
      </c>
      <c r="AS20" s="13">
        <f>'Quotité d''intéret + revenus det'!AS17</f>
        <v>3138918.75</v>
      </c>
      <c r="AT20" s="13">
        <f>'Quotité d''intéret + revenus det'!AT17</f>
        <v>2482174.27</v>
      </c>
      <c r="AU20" s="13">
        <f>'Quotité d''intéret + revenus det'!AU17</f>
        <v>1494437.21</v>
      </c>
      <c r="AV20" s="13">
        <f>'Quotité d''intéret + revenus det'!AV17</f>
        <v>6671285.6099999994</v>
      </c>
      <c r="AW20" s="13">
        <f>'Quotité d''intéret + revenus det'!AW17</f>
        <v>3293308.63</v>
      </c>
      <c r="AX20" s="13">
        <f>'Quotité d''intéret + revenus det'!AX17</f>
        <v>756944.85</v>
      </c>
      <c r="AY20" s="13">
        <f>'Quotité d''intéret + revenus det'!AY17</f>
        <v>1311205.6100000001</v>
      </c>
      <c r="AZ20" s="13">
        <f>'Quotité d''intéret + revenus det'!AZ17</f>
        <v>4675084.75</v>
      </c>
      <c r="BA20" s="13">
        <f>'Quotité d''intéret + revenus det'!BA17</f>
        <v>1615489.17</v>
      </c>
      <c r="BB20" s="13">
        <f>'Quotité d''intéret + revenus det'!BB17</f>
        <v>5949496</v>
      </c>
      <c r="BC20" s="13">
        <f>'Quotité d''intéret + revenus det'!BC17</f>
        <v>384450</v>
      </c>
      <c r="BD20" s="13">
        <f>'Quotité d''intéret + revenus det'!BD17</f>
        <v>42138657.090000004</v>
      </c>
      <c r="BE20" s="13">
        <f>'Quotité d''intéret + revenus det'!BE17</f>
        <v>2585754.09</v>
      </c>
      <c r="BF20" s="13">
        <f t="shared" si="0"/>
        <v>210745429.25</v>
      </c>
      <c r="BG20" s="13">
        <f t="shared" si="1"/>
        <v>51764998.170000002</v>
      </c>
      <c r="BH20" s="13">
        <f t="shared" si="2"/>
        <v>115443110.94000001</v>
      </c>
      <c r="BK20" s="13"/>
    </row>
    <row r="21" spans="1:63" ht="15.75" thickBot="1" x14ac:dyDescent="0.3">
      <c r="A21" s="7"/>
      <c r="D21" s="13"/>
      <c r="BF21" s="13"/>
      <c r="BG21" s="13"/>
      <c r="BH21" s="13"/>
      <c r="BK21" s="13"/>
    </row>
    <row r="22" spans="1:63" ht="15.75" thickBot="1" x14ac:dyDescent="0.3">
      <c r="A22" s="7" t="s">
        <v>544</v>
      </c>
      <c r="D22" s="168">
        <f>IF(D20&lt;&gt;0,D18/D20,"")*100</f>
        <v>8.0573059699718126</v>
      </c>
      <c r="E22" s="177">
        <f>IF(E20&lt;&gt;0,E18/E20,"")*100</f>
        <v>3.0407966509345101</v>
      </c>
      <c r="F22" s="167">
        <f t="shared" ref="F22:BH22" si="6">IF(F20&lt;&gt;0,F18/F20,"")*100</f>
        <v>-12.183150733302387</v>
      </c>
      <c r="G22" s="167">
        <f t="shared" si="6"/>
        <v>19.170025952402607</v>
      </c>
      <c r="H22" s="167">
        <f t="shared" si="6"/>
        <v>2.0313219790934003</v>
      </c>
      <c r="I22" s="167">
        <f t="shared" si="6"/>
        <v>8.0951303998123496</v>
      </c>
      <c r="J22" s="167">
        <f t="shared" si="6"/>
        <v>7.9321746910321238</v>
      </c>
      <c r="K22" s="167">
        <f t="shared" si="6"/>
        <v>9.9945730230188303</v>
      </c>
      <c r="L22" s="167">
        <f t="shared" si="6"/>
        <v>2.3702386781213347</v>
      </c>
      <c r="M22" s="167">
        <f t="shared" si="6"/>
        <v>-1.2588758154834199</v>
      </c>
      <c r="N22" s="167">
        <f t="shared" si="6"/>
        <v>16.37354316218109</v>
      </c>
      <c r="O22" s="167">
        <f t="shared" si="6"/>
        <v>9.8008462193415742</v>
      </c>
      <c r="P22" s="167">
        <f t="shared" si="6"/>
        <v>0.5802262393057942</v>
      </c>
      <c r="Q22" s="167">
        <f t="shared" si="6"/>
        <v>9.3750354860721448</v>
      </c>
      <c r="R22" s="167">
        <f t="shared" si="6"/>
        <v>5.05434583903729</v>
      </c>
      <c r="S22" s="167">
        <f t="shared" si="6"/>
        <v>0.18845020348629363</v>
      </c>
      <c r="T22" s="167">
        <f t="shared" si="6"/>
        <v>9.9075050291553808</v>
      </c>
      <c r="U22" s="167">
        <f t="shared" si="6"/>
        <v>-4.7712094980843567</v>
      </c>
      <c r="V22" s="167">
        <f t="shared" si="6"/>
        <v>4.6636426792268741</v>
      </c>
      <c r="W22" s="167">
        <f t="shared" si="6"/>
        <v>15.42031506423284</v>
      </c>
      <c r="X22" s="167">
        <f t="shared" si="6"/>
        <v>5.234430222548311</v>
      </c>
      <c r="Y22" s="167">
        <f t="shared" si="6"/>
        <v>21.667788501275041</v>
      </c>
      <c r="Z22" s="167">
        <f t="shared" si="6"/>
        <v>33.86777282112444</v>
      </c>
      <c r="AA22" s="167">
        <f t="shared" si="6"/>
        <v>-9.6049641291264702</v>
      </c>
      <c r="AB22" s="167">
        <f t="shared" si="6"/>
        <v>8.1680928194760458</v>
      </c>
      <c r="AC22" s="167">
        <f t="shared" si="6"/>
        <v>4.3362146257838887</v>
      </c>
      <c r="AD22" s="167">
        <f t="shared" si="6"/>
        <v>13.40641472372652</v>
      </c>
      <c r="AE22" s="167">
        <f t="shared" si="6"/>
        <v>-4.63619216385709</v>
      </c>
      <c r="AF22" s="167">
        <f t="shared" si="6"/>
        <v>-3.8304813174237085</v>
      </c>
      <c r="AG22" s="167">
        <f t="shared" si="6"/>
        <v>11.630181180210785</v>
      </c>
      <c r="AH22" s="167">
        <f t="shared" si="6"/>
        <v>10.370444432550691</v>
      </c>
      <c r="AI22" s="167">
        <f t="shared" si="6"/>
        <v>13.933647652813097</v>
      </c>
      <c r="AJ22" s="167">
        <f t="shared" si="6"/>
        <v>13.063969371397071</v>
      </c>
      <c r="AK22" s="167">
        <f t="shared" si="6"/>
        <v>16.345887786473231</v>
      </c>
      <c r="AL22" s="167">
        <f t="shared" si="6"/>
        <v>7.9398575288023823</v>
      </c>
      <c r="AM22" s="167">
        <f t="shared" si="6"/>
        <v>4.4295691149584622</v>
      </c>
      <c r="AN22" s="167">
        <f t="shared" si="6"/>
        <v>6.8067216968784052</v>
      </c>
      <c r="AO22" s="167">
        <f t="shared" si="6"/>
        <v>25.262334877633798</v>
      </c>
      <c r="AP22" s="167">
        <f t="shared" si="6"/>
        <v>2.2922741079788276</v>
      </c>
      <c r="AQ22" s="167">
        <f t="shared" si="6"/>
        <v>-0.40795228247298865</v>
      </c>
      <c r="AR22" s="167">
        <f t="shared" si="6"/>
        <v>12.867216600544285</v>
      </c>
      <c r="AS22" s="167">
        <f t="shared" si="6"/>
        <v>11.476279212388025</v>
      </c>
      <c r="AT22" s="167">
        <f t="shared" si="6"/>
        <v>9.5904084123795208</v>
      </c>
      <c r="AU22" s="167">
        <f t="shared" si="6"/>
        <v>-12.885799330438246</v>
      </c>
      <c r="AV22" s="167">
        <f t="shared" si="6"/>
        <v>12.931553982741267</v>
      </c>
      <c r="AW22" s="167">
        <f t="shared" si="6"/>
        <v>11.305995636370103</v>
      </c>
      <c r="AX22" s="167">
        <f t="shared" si="6"/>
        <v>-2.1332307102690504</v>
      </c>
      <c r="AY22" s="167">
        <f t="shared" si="6"/>
        <v>6.6996022080777999</v>
      </c>
      <c r="AZ22" s="167">
        <f t="shared" si="6"/>
        <v>8.1673514046991329</v>
      </c>
      <c r="BA22" s="167">
        <f t="shared" si="6"/>
        <v>2.7339168110919623</v>
      </c>
      <c r="BB22" s="167">
        <f t="shared" si="6"/>
        <v>13.385285072886846</v>
      </c>
      <c r="BC22" s="167">
        <f t="shared" si="6"/>
        <v>7.1011887111457925</v>
      </c>
      <c r="BD22" s="167">
        <f t="shared" si="6"/>
        <v>7.7426000857874042</v>
      </c>
      <c r="BE22" s="167">
        <f t="shared" si="6"/>
        <v>3.8806288806837017</v>
      </c>
      <c r="BF22" s="167">
        <f t="shared" si="6"/>
        <v>5.5008665864101989</v>
      </c>
      <c r="BG22" s="167">
        <f t="shared" si="6"/>
        <v>14.296767799924371</v>
      </c>
      <c r="BH22" s="167">
        <f t="shared" si="6"/>
        <v>9.9263840229979845</v>
      </c>
      <c r="BK22" s="13"/>
    </row>
    <row r="23" spans="1:63" ht="15" x14ac:dyDescent="0.25">
      <c r="A23" s="173" t="s">
        <v>545</v>
      </c>
      <c r="D23" s="172"/>
      <c r="BF23" s="13"/>
      <c r="BG23" s="13"/>
      <c r="BH23" s="13"/>
      <c r="BK23" s="13"/>
    </row>
    <row r="24" spans="1:63" x14ac:dyDescent="0.2">
      <c r="D24" s="13"/>
      <c r="BF24" s="13"/>
      <c r="BG24" s="13"/>
      <c r="BH24" s="13"/>
      <c r="BK24" s="13"/>
    </row>
    <row r="25" spans="1:63" ht="15" x14ac:dyDescent="0.25">
      <c r="A25" s="7" t="s">
        <v>546</v>
      </c>
      <c r="C25" s="33" t="s">
        <v>493</v>
      </c>
      <c r="D25" s="186" t="s">
        <v>494</v>
      </c>
      <c r="BF25" s="13"/>
      <c r="BG25" s="13"/>
      <c r="BH25" s="13"/>
      <c r="BK25" s="13"/>
    </row>
    <row r="26" spans="1:63" x14ac:dyDescent="0.2">
      <c r="D26" s="13"/>
      <c r="BF26" s="13"/>
      <c r="BG26" s="13"/>
      <c r="BH26" s="13"/>
      <c r="BK26" s="13"/>
    </row>
    <row r="27" spans="1:63" x14ac:dyDescent="0.2">
      <c r="A27" s="159" t="s">
        <v>100</v>
      </c>
      <c r="B27" s="160" t="s">
        <v>224</v>
      </c>
      <c r="C27" s="159">
        <v>34</v>
      </c>
      <c r="D27" s="161">
        <f>'Base de données indicateurs1'!BF22</f>
        <v>8261031.5800000001</v>
      </c>
      <c r="E27" s="13">
        <f>'Base de données indicateurs1'!E22</f>
        <v>54405.36</v>
      </c>
      <c r="F27" s="13">
        <f>'Base de données indicateurs1'!F22</f>
        <v>124634.59</v>
      </c>
      <c r="G27" s="13">
        <f>'Base de données indicateurs1'!G22</f>
        <v>74666.789999999994</v>
      </c>
      <c r="H27" s="13">
        <f>'Base de données indicateurs1'!H22</f>
        <v>80672.25</v>
      </c>
      <c r="I27" s="13">
        <f>'Base de données indicateurs1'!I22</f>
        <v>457925</v>
      </c>
      <c r="J27" s="13">
        <f>'Base de données indicateurs1'!J22</f>
        <v>209906.22</v>
      </c>
      <c r="K27" s="13">
        <f>'Base de données indicateurs1'!K22</f>
        <v>204760.07</v>
      </c>
      <c r="L27" s="13">
        <f>'Base de données indicateurs1'!L22</f>
        <v>2157423.0699999998</v>
      </c>
      <c r="M27" s="13">
        <f>'Base de données indicateurs1'!M22</f>
        <v>51006.45</v>
      </c>
      <c r="N27" s="13">
        <f>'Base de données indicateurs1'!N22</f>
        <v>7268.05</v>
      </c>
      <c r="O27" s="13">
        <f>'Base de données indicateurs1'!O22</f>
        <v>371651.81</v>
      </c>
      <c r="P27" s="13">
        <f>'Base de données indicateurs1'!P22</f>
        <v>47649.2</v>
      </c>
      <c r="Q27" s="13">
        <f>'Base de données indicateurs1'!Q22</f>
        <v>10466.73</v>
      </c>
      <c r="R27" s="13">
        <f>'Base de données indicateurs1'!R22</f>
        <v>162004.76</v>
      </c>
      <c r="S27" s="13">
        <f>'Base de données indicateurs1'!S22</f>
        <v>65863.97</v>
      </c>
      <c r="T27" s="13">
        <f>'Base de données indicateurs1'!T22</f>
        <v>54609.120000000003</v>
      </c>
      <c r="U27" s="13">
        <f>'Base de données indicateurs1'!U22</f>
        <v>15435.36</v>
      </c>
      <c r="V27" s="13">
        <f>'Base de données indicateurs1'!V22</f>
        <v>46259.69</v>
      </c>
      <c r="W27" s="13">
        <f>'Base de données indicateurs1'!W22</f>
        <v>185479.62</v>
      </c>
      <c r="X27" s="13">
        <f>'Base de données indicateurs1'!X22</f>
        <v>12266.06</v>
      </c>
      <c r="Y27" s="13">
        <f>'Base de données indicateurs1'!Y22</f>
        <v>128326.63</v>
      </c>
      <c r="Z27" s="13">
        <f>'Base de données indicateurs1'!Z22</f>
        <v>16932.63</v>
      </c>
      <c r="AA27" s="13">
        <f>'Base de données indicateurs1'!AA22</f>
        <v>5514.82</v>
      </c>
      <c r="AB27" s="13">
        <f>'Base de données indicateurs1'!AB22</f>
        <v>14317.32</v>
      </c>
      <c r="AC27" s="13">
        <f>'Base de données indicateurs1'!AC22</f>
        <v>78531.81</v>
      </c>
      <c r="AD27" s="13">
        <f>'Base de données indicateurs1'!AD22</f>
        <v>67634.100000000006</v>
      </c>
      <c r="AE27" s="13">
        <f>'Base de données indicateurs1'!AE22</f>
        <v>35078.6</v>
      </c>
      <c r="AF27" s="13">
        <f>'Base de données indicateurs1'!AF22</f>
        <v>88799.25</v>
      </c>
      <c r="AG27" s="13">
        <f>'Base de données indicateurs1'!AG22</f>
        <v>93141.09</v>
      </c>
      <c r="AH27" s="13">
        <f>'Base de données indicateurs1'!AH22</f>
        <v>154152.78</v>
      </c>
      <c r="AI27" s="13">
        <f>'Base de données indicateurs1'!AI22</f>
        <v>0</v>
      </c>
      <c r="AJ27" s="13">
        <f>'Base de données indicateurs1'!AJ22</f>
        <v>34807.03</v>
      </c>
      <c r="AK27" s="13">
        <f>'Base de données indicateurs1'!AK22</f>
        <v>176338.6</v>
      </c>
      <c r="AL27" s="13">
        <f>'Base de données indicateurs1'!AL22</f>
        <v>185132</v>
      </c>
      <c r="AM27" s="13">
        <f>'Base de données indicateurs1'!AM22</f>
        <v>151615.21</v>
      </c>
      <c r="AN27" s="13">
        <f>'Base de données indicateurs1'!AN22</f>
        <v>20422.02</v>
      </c>
      <c r="AO27" s="13">
        <f>'Base de données indicateurs1'!AO22</f>
        <v>210279.28</v>
      </c>
      <c r="AP27" s="13">
        <f>'Base de données indicateurs1'!AP22</f>
        <v>82884.320000000007</v>
      </c>
      <c r="AQ27" s="13">
        <f>'Base de données indicateurs1'!AQ22</f>
        <v>60050</v>
      </c>
      <c r="AR27" s="13">
        <f>'Base de données indicateurs1'!AR22</f>
        <v>257738.71</v>
      </c>
      <c r="AS27" s="13">
        <f>'Base de données indicateurs1'!AS22</f>
        <v>76242.42</v>
      </c>
      <c r="AT27" s="13">
        <f>'Base de données indicateurs1'!AT22</f>
        <v>152631.87</v>
      </c>
      <c r="AU27" s="13">
        <f>'Base de données indicateurs1'!AU22</f>
        <v>22266.65</v>
      </c>
      <c r="AV27" s="13">
        <f>'Base de données indicateurs1'!AV22</f>
        <v>190311.65</v>
      </c>
      <c r="AW27" s="13">
        <f>'Base de données indicateurs1'!AW22</f>
        <v>75363.41</v>
      </c>
      <c r="AX27" s="13">
        <f>'Base de données indicateurs1'!AX22</f>
        <v>8184.15</v>
      </c>
      <c r="AY27" s="13">
        <f>'Base de données indicateurs1'!AY22</f>
        <v>14484.84</v>
      </c>
      <c r="AZ27" s="13">
        <f>'Base de données indicateurs1'!AZ22</f>
        <v>293334.28999999998</v>
      </c>
      <c r="BA27" s="13">
        <f>'Base de données indicateurs1'!BA22</f>
        <v>23926.76</v>
      </c>
      <c r="BB27" s="13">
        <f>'Base de données indicateurs1'!BB22</f>
        <v>110268</v>
      </c>
      <c r="BC27" s="13">
        <f>'Base de données indicateurs1'!BC22</f>
        <v>629.9</v>
      </c>
      <c r="BD27" s="13">
        <f>'Base de données indicateurs1'!BD22</f>
        <v>979043.6</v>
      </c>
      <c r="BE27" s="13">
        <f>'Base de données indicateurs1'!BE22</f>
        <v>58293.67</v>
      </c>
      <c r="BF27" s="13">
        <f t="shared" si="0"/>
        <v>4382088.1100000003</v>
      </c>
      <c r="BG27" s="13">
        <f t="shared" si="1"/>
        <v>729502.12</v>
      </c>
      <c r="BH27" s="13">
        <f t="shared" si="2"/>
        <v>3149441.3499999996</v>
      </c>
      <c r="BK27" s="13"/>
    </row>
    <row r="28" spans="1:63" x14ac:dyDescent="0.2">
      <c r="A28" s="162" t="s">
        <v>280</v>
      </c>
      <c r="B28" s="163" t="s">
        <v>225</v>
      </c>
      <c r="C28" s="162">
        <v>440</v>
      </c>
      <c r="D28" s="164">
        <f>'Base de données indicateurs1'!BF42</f>
        <v>2807980.9099999997</v>
      </c>
      <c r="E28" s="13">
        <f>'Base de données indicateurs1'!E42</f>
        <v>20774.759999999998</v>
      </c>
      <c r="F28" s="13">
        <f>'Base de données indicateurs1'!F42</f>
        <v>3458.6</v>
      </c>
      <c r="G28" s="13">
        <f>'Base de données indicateurs1'!G42</f>
        <v>8650.19</v>
      </c>
      <c r="H28" s="13">
        <f>'Base de données indicateurs1'!H42</f>
        <v>7673</v>
      </c>
      <c r="I28" s="13">
        <f>'Base de données indicateurs1'!I42</f>
        <v>92820</v>
      </c>
      <c r="J28" s="13">
        <f>'Base de données indicateurs1'!J42</f>
        <v>85392.02</v>
      </c>
      <c r="K28" s="13">
        <f>'Base de données indicateurs1'!K42</f>
        <v>50590.25</v>
      </c>
      <c r="L28" s="13">
        <f>'Base de données indicateurs1'!L42</f>
        <v>916525.13</v>
      </c>
      <c r="M28" s="13">
        <f>'Base de données indicateurs1'!M42</f>
        <v>34510.089999999997</v>
      </c>
      <c r="N28" s="13">
        <f>'Base de données indicateurs1'!N42</f>
        <v>2550.92</v>
      </c>
      <c r="O28" s="13">
        <f>'Base de données indicateurs1'!O42</f>
        <v>204486.74</v>
      </c>
      <c r="P28" s="13">
        <f>'Base de données indicateurs1'!P42</f>
        <v>13949.69</v>
      </c>
      <c r="Q28" s="13">
        <f>'Base de données indicateurs1'!Q42</f>
        <v>3126.21</v>
      </c>
      <c r="R28" s="13">
        <f>'Base de données indicateurs1'!R42</f>
        <v>5.5</v>
      </c>
      <c r="S28" s="13">
        <f>'Base de données indicateurs1'!S42</f>
        <v>0</v>
      </c>
      <c r="T28" s="13">
        <f>'Base de données indicateurs1'!T42</f>
        <v>20475.93</v>
      </c>
      <c r="U28" s="13">
        <f>'Base de données indicateurs1'!U42</f>
        <v>10249.469999999999</v>
      </c>
      <c r="V28" s="13">
        <f>'Base de données indicateurs1'!V42</f>
        <v>14363.15</v>
      </c>
      <c r="W28" s="13">
        <f>'Base de données indicateurs1'!W42</f>
        <v>96966.55</v>
      </c>
      <c r="X28" s="13">
        <f>'Base de données indicateurs1'!X42</f>
        <v>5057.2</v>
      </c>
      <c r="Y28" s="13">
        <f>'Base de données indicateurs1'!Y42</f>
        <v>42079.32</v>
      </c>
      <c r="Z28" s="13">
        <f>'Base de données indicateurs1'!Z42</f>
        <v>33323.19</v>
      </c>
      <c r="AA28" s="13">
        <f>'Base de données indicateurs1'!AA42</f>
        <v>2034.5</v>
      </c>
      <c r="AB28" s="13">
        <f>'Base de données indicateurs1'!AB42</f>
        <v>2689.22</v>
      </c>
      <c r="AC28" s="13">
        <f>'Base de données indicateurs1'!AC42</f>
        <v>5857.15</v>
      </c>
      <c r="AD28" s="13">
        <f>'Base de données indicateurs1'!AD42</f>
        <v>10282.23</v>
      </c>
      <c r="AE28" s="13">
        <f>'Base de données indicateurs1'!AE42</f>
        <v>14852.94</v>
      </c>
      <c r="AF28" s="13">
        <f>'Base de données indicateurs1'!AF42</f>
        <v>296.68</v>
      </c>
      <c r="AG28" s="13">
        <f>'Base de données indicateurs1'!AG42</f>
        <v>31517.47</v>
      </c>
      <c r="AH28" s="13">
        <f>'Base de données indicateurs1'!AH42</f>
        <v>51084.21</v>
      </c>
      <c r="AI28" s="13">
        <f>'Base de données indicateurs1'!AI42</f>
        <v>0</v>
      </c>
      <c r="AJ28" s="13">
        <f>'Base de données indicateurs1'!AJ42</f>
        <v>2287.2600000000002</v>
      </c>
      <c r="AK28" s="13">
        <f>'Base de données indicateurs1'!AK42</f>
        <v>51399.56</v>
      </c>
      <c r="AL28" s="13">
        <f>'Base de données indicateurs1'!AL42</f>
        <v>78509</v>
      </c>
      <c r="AM28" s="13">
        <f>'Base de données indicateurs1'!AM42</f>
        <v>43546.25</v>
      </c>
      <c r="AN28" s="13">
        <f>'Base de données indicateurs1'!AN42</f>
        <v>6846.77</v>
      </c>
      <c r="AO28" s="13">
        <f>'Base de données indicateurs1'!AO42</f>
        <v>21251.68</v>
      </c>
      <c r="AP28" s="13">
        <f>'Base de données indicateurs1'!AP42</f>
        <v>43429.84</v>
      </c>
      <c r="AQ28" s="13">
        <f>'Base de données indicateurs1'!AQ42</f>
        <v>20734</v>
      </c>
      <c r="AR28" s="13">
        <f>'Base de données indicateurs1'!AR42</f>
        <v>37646.339999999997</v>
      </c>
      <c r="AS28" s="13">
        <f>'Base de données indicateurs1'!AS42</f>
        <v>24618.9</v>
      </c>
      <c r="AT28" s="13">
        <f>'Base de données indicateurs1'!AT42</f>
        <v>34333.64</v>
      </c>
      <c r="AU28" s="13">
        <f>'Base de données indicateurs1'!AU42</f>
        <v>9603.7900000000009</v>
      </c>
      <c r="AV28" s="13">
        <f>'Base de données indicateurs1'!AV42</f>
        <v>75161.23</v>
      </c>
      <c r="AW28" s="13">
        <f>'Base de données indicateurs1'!AW42</f>
        <v>15309.24</v>
      </c>
      <c r="AX28" s="13">
        <f>'Base de données indicateurs1'!AX42</f>
        <v>3910.43</v>
      </c>
      <c r="AY28" s="13">
        <f>'Base de données indicateurs1'!AY42</f>
        <v>10077.92</v>
      </c>
      <c r="AZ28" s="13">
        <f>'Base de données indicateurs1'!AZ42</f>
        <v>67652.11</v>
      </c>
      <c r="BA28" s="13">
        <f>'Base de données indicateurs1'!BA42</f>
        <v>11732.29</v>
      </c>
      <c r="BB28" s="13">
        <f>'Base de données indicateurs1'!BB42</f>
        <v>53388</v>
      </c>
      <c r="BC28" s="13">
        <f>'Base de données indicateurs1'!BC42</f>
        <v>5670.83</v>
      </c>
      <c r="BD28" s="13">
        <f>'Base de données indicateurs1'!BD42</f>
        <v>356399.74</v>
      </c>
      <c r="BE28" s="13">
        <f>'Base de données indicateurs1'!BE42</f>
        <v>48829.78</v>
      </c>
      <c r="BF28" s="13">
        <f t="shared" si="0"/>
        <v>1586568.1999999997</v>
      </c>
      <c r="BG28" s="13">
        <f t="shared" si="1"/>
        <v>201361.36999999997</v>
      </c>
      <c r="BH28" s="13">
        <f t="shared" si="2"/>
        <v>1020051.34</v>
      </c>
      <c r="BK28" s="13"/>
    </row>
    <row r="29" spans="1:63" x14ac:dyDescent="0.2">
      <c r="A29" s="162" t="s">
        <v>547</v>
      </c>
      <c r="B29" s="163" t="s">
        <v>225</v>
      </c>
      <c r="C29" s="162">
        <v>441</v>
      </c>
      <c r="D29" s="164">
        <f>'Base de données indicateurs1'!BF43</f>
        <v>206953.4</v>
      </c>
      <c r="E29" s="13">
        <f>'Base de données indicateurs1'!E43</f>
        <v>10419.9</v>
      </c>
      <c r="F29" s="13">
        <f>'Base de données indicateurs1'!F43</f>
        <v>0</v>
      </c>
      <c r="G29" s="13">
        <f>'Base de données indicateurs1'!G43</f>
        <v>0</v>
      </c>
      <c r="H29" s="13">
        <f>'Base de données indicateurs1'!H43</f>
        <v>0</v>
      </c>
      <c r="I29" s="13">
        <f>'Base de données indicateurs1'!I43</f>
        <v>0</v>
      </c>
      <c r="J29" s="13">
        <f>'Base de données indicateurs1'!J43</f>
        <v>0</v>
      </c>
      <c r="K29" s="13">
        <f>'Base de données indicateurs1'!K43</f>
        <v>0</v>
      </c>
      <c r="L29" s="13">
        <f>'Base de données indicateurs1'!L43</f>
        <v>0</v>
      </c>
      <c r="M29" s="13">
        <f>'Base de données indicateurs1'!M43</f>
        <v>0</v>
      </c>
      <c r="N29" s="13">
        <f>'Base de données indicateurs1'!N43</f>
        <v>0</v>
      </c>
      <c r="O29" s="13">
        <f>'Base de données indicateurs1'!O43</f>
        <v>0</v>
      </c>
      <c r="P29" s="13">
        <f>'Base de données indicateurs1'!P43</f>
        <v>0</v>
      </c>
      <c r="Q29" s="13">
        <f>'Base de données indicateurs1'!Q43</f>
        <v>0</v>
      </c>
      <c r="R29" s="13">
        <f>'Base de données indicateurs1'!R43</f>
        <v>0</v>
      </c>
      <c r="S29" s="13">
        <f>'Base de données indicateurs1'!S43</f>
        <v>0</v>
      </c>
      <c r="T29" s="13">
        <f>'Base de données indicateurs1'!T43</f>
        <v>0</v>
      </c>
      <c r="U29" s="13">
        <f>'Base de données indicateurs1'!U43</f>
        <v>0</v>
      </c>
      <c r="V29" s="13">
        <f>'Base de données indicateurs1'!V43</f>
        <v>0</v>
      </c>
      <c r="W29" s="13">
        <f>'Base de données indicateurs1'!W43</f>
        <v>12500</v>
      </c>
      <c r="X29" s="13">
        <f>'Base de données indicateurs1'!X43</f>
        <v>-54035</v>
      </c>
      <c r="Y29" s="13">
        <f>'Base de données indicateurs1'!Y43</f>
        <v>0</v>
      </c>
      <c r="Z29" s="13">
        <f>'Base de données indicateurs1'!Z43</f>
        <v>0</v>
      </c>
      <c r="AA29" s="13">
        <f>'Base de données indicateurs1'!AA43</f>
        <v>0</v>
      </c>
      <c r="AB29" s="13">
        <f>'Base de données indicateurs1'!AB43</f>
        <v>0</v>
      </c>
      <c r="AC29" s="13">
        <f>'Base de données indicateurs1'!AC43</f>
        <v>0</v>
      </c>
      <c r="AD29" s="13">
        <f>'Base de données indicateurs1'!AD43</f>
        <v>29136</v>
      </c>
      <c r="AE29" s="13">
        <f>'Base de données indicateurs1'!AE43</f>
        <v>0</v>
      </c>
      <c r="AF29" s="13">
        <f>'Base de données indicateurs1'!AF43</f>
        <v>0</v>
      </c>
      <c r="AG29" s="13">
        <f>'Base de données indicateurs1'!AG43</f>
        <v>8220</v>
      </c>
      <c r="AH29" s="13">
        <f>'Base de données indicateurs1'!AH43</f>
        <v>43</v>
      </c>
      <c r="AI29" s="13">
        <f>'Base de données indicateurs1'!AI43</f>
        <v>0</v>
      </c>
      <c r="AJ29" s="13">
        <f>'Base de données indicateurs1'!AJ43</f>
        <v>184334.5</v>
      </c>
      <c r="AK29" s="13">
        <f>'Base de données indicateurs1'!AK43</f>
        <v>0</v>
      </c>
      <c r="AL29" s="13">
        <f>'Base de données indicateurs1'!AL43</f>
        <v>0</v>
      </c>
      <c r="AM29" s="13">
        <f>'Base de données indicateurs1'!AM43</f>
        <v>0</v>
      </c>
      <c r="AN29" s="13">
        <f>'Base de données indicateurs1'!AN43</f>
        <v>0</v>
      </c>
      <c r="AO29" s="13">
        <f>'Base de données indicateurs1'!AO43</f>
        <v>0</v>
      </c>
      <c r="AP29" s="13">
        <f>'Base de données indicateurs1'!AP43</f>
        <v>0</v>
      </c>
      <c r="AQ29" s="13">
        <f>'Base de données indicateurs1'!AQ43</f>
        <v>0</v>
      </c>
      <c r="AR29" s="13">
        <f>'Base de données indicateurs1'!AR43</f>
        <v>0</v>
      </c>
      <c r="AS29" s="13">
        <f>'Base de données indicateurs1'!AS43</f>
        <v>0</v>
      </c>
      <c r="AT29" s="13">
        <f>'Base de données indicateurs1'!AT43</f>
        <v>0</v>
      </c>
      <c r="AU29" s="13">
        <f>'Base de données indicateurs1'!AU43</f>
        <v>0</v>
      </c>
      <c r="AV29" s="13">
        <f>'Base de données indicateurs1'!AV43</f>
        <v>0</v>
      </c>
      <c r="AW29" s="13">
        <f>'Base de données indicateurs1'!AW43</f>
        <v>0</v>
      </c>
      <c r="AX29" s="13">
        <f>'Base de données indicateurs1'!AX43</f>
        <v>0</v>
      </c>
      <c r="AY29" s="13">
        <f>'Base de données indicateurs1'!AY43</f>
        <v>0</v>
      </c>
      <c r="AZ29" s="13">
        <f>'Base de données indicateurs1'!AZ43</f>
        <v>0</v>
      </c>
      <c r="BA29" s="13">
        <f>'Base de données indicateurs1'!BA43</f>
        <v>0</v>
      </c>
      <c r="BB29" s="13">
        <f>'Base de données indicateurs1'!BB43</f>
        <v>16335</v>
      </c>
      <c r="BC29" s="13">
        <f>'Base de données indicateurs1'!BC43</f>
        <v>0</v>
      </c>
      <c r="BD29" s="13">
        <f>'Base de données indicateurs1'!BD43</f>
        <v>0</v>
      </c>
      <c r="BE29" s="13">
        <f>'Base de données indicateurs1'!BE43</f>
        <v>0</v>
      </c>
      <c r="BF29" s="13">
        <f t="shared" si="0"/>
        <v>22919.9</v>
      </c>
      <c r="BG29" s="13">
        <f t="shared" si="1"/>
        <v>167698.5</v>
      </c>
      <c r="BH29" s="13">
        <f t="shared" si="2"/>
        <v>16335</v>
      </c>
      <c r="BK29" s="13"/>
    </row>
    <row r="30" spans="1:63" x14ac:dyDescent="0.2">
      <c r="A30" s="162" t="s">
        <v>548</v>
      </c>
      <c r="B30" s="163" t="s">
        <v>225</v>
      </c>
      <c r="C30" s="162">
        <v>442</v>
      </c>
      <c r="D30" s="164">
        <f>'Base de données indicateurs1'!BF44</f>
        <v>90788.15</v>
      </c>
      <c r="E30" s="13">
        <f>'Base de données indicateurs1'!E44</f>
        <v>177</v>
      </c>
      <c r="F30" s="13">
        <f>'Base de données indicateurs1'!F44</f>
        <v>0</v>
      </c>
      <c r="G30" s="13">
        <f>'Base de données indicateurs1'!G44</f>
        <v>0</v>
      </c>
      <c r="H30" s="13">
        <f>'Base de données indicateurs1'!H44</f>
        <v>0</v>
      </c>
      <c r="I30" s="13">
        <f>'Base de données indicateurs1'!I44</f>
        <v>6509</v>
      </c>
      <c r="J30" s="13">
        <f>'Base de données indicateurs1'!J44</f>
        <v>36</v>
      </c>
      <c r="K30" s="13">
        <f>'Base de données indicateurs1'!K44</f>
        <v>0</v>
      </c>
      <c r="L30" s="13">
        <f>'Base de données indicateurs1'!L44</f>
        <v>22013.599999999999</v>
      </c>
      <c r="M30" s="13">
        <f>'Base de données indicateurs1'!M44</f>
        <v>0</v>
      </c>
      <c r="N30" s="13">
        <f>'Base de données indicateurs1'!N44</f>
        <v>0</v>
      </c>
      <c r="O30" s="13">
        <f>'Base de données indicateurs1'!O44</f>
        <v>3959</v>
      </c>
      <c r="P30" s="13">
        <f>'Base de données indicateurs1'!P44</f>
        <v>0</v>
      </c>
      <c r="Q30" s="13">
        <f>'Base de données indicateurs1'!Q44</f>
        <v>21</v>
      </c>
      <c r="R30" s="13">
        <f>'Base de données indicateurs1'!R44</f>
        <v>0</v>
      </c>
      <c r="S30" s="13">
        <f>'Base de données indicateurs1'!S44</f>
        <v>3.25</v>
      </c>
      <c r="T30" s="13">
        <f>'Base de données indicateurs1'!T44</f>
        <v>325</v>
      </c>
      <c r="U30" s="13">
        <f>'Base de données indicateurs1'!U44</f>
        <v>0</v>
      </c>
      <c r="V30" s="13">
        <f>'Base de données indicateurs1'!V44</f>
        <v>0</v>
      </c>
      <c r="W30" s="13">
        <f>'Base de données indicateurs1'!W44</f>
        <v>208</v>
      </c>
      <c r="X30" s="13">
        <f>'Base de données indicateurs1'!X44</f>
        <v>5</v>
      </c>
      <c r="Y30" s="13">
        <f>'Base de données indicateurs1'!Y44</f>
        <v>0</v>
      </c>
      <c r="Z30" s="13">
        <f>'Base de données indicateurs1'!Z44</f>
        <v>0</v>
      </c>
      <c r="AA30" s="13">
        <f>'Base de données indicateurs1'!AA44</f>
        <v>0</v>
      </c>
      <c r="AB30" s="13">
        <f>'Base de données indicateurs1'!AB44</f>
        <v>0</v>
      </c>
      <c r="AC30" s="13">
        <f>'Base de données indicateurs1'!AC44</f>
        <v>0</v>
      </c>
      <c r="AD30" s="13">
        <f>'Base de données indicateurs1'!AD44</f>
        <v>16</v>
      </c>
      <c r="AE30" s="13">
        <f>'Base de données indicateurs1'!AE44</f>
        <v>0</v>
      </c>
      <c r="AF30" s="13">
        <f>'Base de données indicateurs1'!AF44</f>
        <v>0</v>
      </c>
      <c r="AG30" s="13">
        <f>'Base de données indicateurs1'!AG44</f>
        <v>8715</v>
      </c>
      <c r="AH30" s="13">
        <f>'Base de données indicateurs1'!AH44</f>
        <v>0</v>
      </c>
      <c r="AI30" s="13">
        <f>'Base de données indicateurs1'!AI44</f>
        <v>0</v>
      </c>
      <c r="AJ30" s="13">
        <f>'Base de données indicateurs1'!AJ44</f>
        <v>0</v>
      </c>
      <c r="AK30" s="13">
        <f>'Base de données indicateurs1'!AK44</f>
        <v>0</v>
      </c>
      <c r="AL30" s="13">
        <f>'Base de données indicateurs1'!AL44</f>
        <v>1014</v>
      </c>
      <c r="AM30" s="13">
        <f>'Base de données indicateurs1'!AM44</f>
        <v>0</v>
      </c>
      <c r="AN30" s="13">
        <f>'Base de données indicateurs1'!AN44</f>
        <v>0</v>
      </c>
      <c r="AO30" s="13">
        <f>'Base de données indicateurs1'!AO44</f>
        <v>0</v>
      </c>
      <c r="AP30" s="13">
        <f>'Base de données indicateurs1'!AP44</f>
        <v>40</v>
      </c>
      <c r="AQ30" s="13">
        <f>'Base de données indicateurs1'!AQ44</f>
        <v>0</v>
      </c>
      <c r="AR30" s="13">
        <f>'Base de données indicateurs1'!AR44</f>
        <v>8074.75</v>
      </c>
      <c r="AS30" s="13">
        <f>'Base de données indicateurs1'!AS44</f>
        <v>0</v>
      </c>
      <c r="AT30" s="13">
        <f>'Base de données indicateurs1'!AT44</f>
        <v>380</v>
      </c>
      <c r="AU30" s="13">
        <f>'Base de données indicateurs1'!AU44</f>
        <v>0</v>
      </c>
      <c r="AV30" s="13">
        <f>'Base de données indicateurs1'!AV44</f>
        <v>1632.5</v>
      </c>
      <c r="AW30" s="13">
        <f>'Base de données indicateurs1'!AW44</f>
        <v>2203.0500000000002</v>
      </c>
      <c r="AX30" s="13">
        <f>'Base de données indicateurs1'!AX44</f>
        <v>0</v>
      </c>
      <c r="AY30" s="13">
        <f>'Base de données indicateurs1'!AY44</f>
        <v>0</v>
      </c>
      <c r="AZ30" s="13">
        <f>'Base de données indicateurs1'!AZ44</f>
        <v>0</v>
      </c>
      <c r="BA30" s="13">
        <f>'Base de données indicateurs1'!BA44</f>
        <v>0</v>
      </c>
      <c r="BB30" s="13">
        <f>'Base de données indicateurs1'!BB44</f>
        <v>109</v>
      </c>
      <c r="BC30" s="13">
        <f>'Base de données indicateurs1'!BC44</f>
        <v>0</v>
      </c>
      <c r="BD30" s="13">
        <f>'Base de données indicateurs1'!BD44</f>
        <v>35327</v>
      </c>
      <c r="BE30" s="13">
        <f>'Base de données indicateurs1'!BE44</f>
        <v>20</v>
      </c>
      <c r="BF30" s="13">
        <f t="shared" si="0"/>
        <v>33251.85</v>
      </c>
      <c r="BG30" s="13">
        <f t="shared" si="1"/>
        <v>8736</v>
      </c>
      <c r="BH30" s="13">
        <f t="shared" si="2"/>
        <v>48800.3</v>
      </c>
      <c r="BK30" s="13"/>
    </row>
    <row r="31" spans="1:63" x14ac:dyDescent="0.2">
      <c r="A31" s="162" t="s">
        <v>549</v>
      </c>
      <c r="B31" s="163" t="s">
        <v>225</v>
      </c>
      <c r="C31" s="162">
        <v>443</v>
      </c>
      <c r="D31" s="164">
        <f>'Base de données indicateurs1'!BF45</f>
        <v>4183375.399999999</v>
      </c>
      <c r="E31" s="13">
        <f>'Base de données indicateurs1'!E45</f>
        <v>23831.5</v>
      </c>
      <c r="F31" s="13">
        <f>'Base de données indicateurs1'!F45</f>
        <v>22320</v>
      </c>
      <c r="G31" s="13">
        <f>'Base de données indicateurs1'!G45</f>
        <v>101852.4</v>
      </c>
      <c r="H31" s="13">
        <f>'Base de données indicateurs1'!H45</f>
        <v>0</v>
      </c>
      <c r="I31" s="13">
        <f>'Base de données indicateurs1'!I45</f>
        <v>390253</v>
      </c>
      <c r="J31" s="13">
        <f>'Base de données indicateurs1'!J45</f>
        <v>131630</v>
      </c>
      <c r="K31" s="13">
        <f>'Base de données indicateurs1'!K45</f>
        <v>125140.2</v>
      </c>
      <c r="L31" s="13">
        <f>'Base de données indicateurs1'!L45</f>
        <v>824370.55</v>
      </c>
      <c r="M31" s="13">
        <f>'Base de données indicateurs1'!M45</f>
        <v>19882.099999999999</v>
      </c>
      <c r="N31" s="13">
        <f>'Base de données indicateurs1'!N45</f>
        <v>21150</v>
      </c>
      <c r="O31" s="13">
        <f>'Base de données indicateurs1'!O45</f>
        <v>108651.25</v>
      </c>
      <c r="P31" s="13">
        <f>'Base de données indicateurs1'!P45</f>
        <v>22790</v>
      </c>
      <c r="Q31" s="13">
        <f>'Base de données indicateurs1'!Q45</f>
        <v>10140</v>
      </c>
      <c r="R31" s="13">
        <f>'Base de données indicateurs1'!R45</f>
        <v>26680</v>
      </c>
      <c r="S31" s="13">
        <f>'Base de données indicateurs1'!S45</f>
        <v>14640</v>
      </c>
      <c r="T31" s="13">
        <f>'Base de données indicateurs1'!T45</f>
        <v>43480</v>
      </c>
      <c r="U31" s="13">
        <f>'Base de données indicateurs1'!U45</f>
        <v>0</v>
      </c>
      <c r="V31" s="13">
        <f>'Base de données indicateurs1'!V45</f>
        <v>20005</v>
      </c>
      <c r="W31" s="13">
        <f>'Base de données indicateurs1'!W45</f>
        <v>155612.29999999999</v>
      </c>
      <c r="X31" s="13">
        <f>'Base de données indicateurs1'!X45</f>
        <v>1490</v>
      </c>
      <c r="Y31" s="13">
        <f>'Base de données indicateurs1'!Y45</f>
        <v>43405</v>
      </c>
      <c r="Z31" s="13">
        <f>'Base de données indicateurs1'!Z45</f>
        <v>8731</v>
      </c>
      <c r="AA31" s="13">
        <f>'Base de données indicateurs1'!AA45</f>
        <v>15034</v>
      </c>
      <c r="AB31" s="13">
        <f>'Base de données indicateurs1'!AB45</f>
        <v>25290</v>
      </c>
      <c r="AC31" s="13">
        <f>'Base de données indicateurs1'!AC45</f>
        <v>41126.6</v>
      </c>
      <c r="AD31" s="13">
        <f>'Base de données indicateurs1'!AD45</f>
        <v>80564.5</v>
      </c>
      <c r="AE31" s="13">
        <f>'Base de données indicateurs1'!AE45</f>
        <v>1810</v>
      </c>
      <c r="AF31" s="13">
        <f>'Base de données indicateurs1'!AF45</f>
        <v>75924.7</v>
      </c>
      <c r="AG31" s="13">
        <f>'Base de données indicateurs1'!AG45</f>
        <v>87356.800000000003</v>
      </c>
      <c r="AH31" s="13">
        <f>'Base de données indicateurs1'!AH45</f>
        <v>39189</v>
      </c>
      <c r="AI31" s="13">
        <f>'Base de données indicateurs1'!AI45</f>
        <v>0</v>
      </c>
      <c r="AJ31" s="13">
        <f>'Base de données indicateurs1'!AJ45</f>
        <v>26770</v>
      </c>
      <c r="AK31" s="13">
        <f>'Base de données indicateurs1'!AK45</f>
        <v>0</v>
      </c>
      <c r="AL31" s="13">
        <f>'Base de données indicateurs1'!AL45</f>
        <v>141519</v>
      </c>
      <c r="AM31" s="13">
        <f>'Base de données indicateurs1'!AM45</f>
        <v>71714.75</v>
      </c>
      <c r="AN31" s="13">
        <f>'Base de données indicateurs1'!AN45</f>
        <v>7440</v>
      </c>
      <c r="AO31" s="13">
        <f>'Base de données indicateurs1'!AO45</f>
        <v>212328.05</v>
      </c>
      <c r="AP31" s="13">
        <f>'Base de données indicateurs1'!AP45</f>
        <v>25423.5</v>
      </c>
      <c r="AQ31" s="13">
        <f>'Base de données indicateurs1'!AQ45</f>
        <v>20325</v>
      </c>
      <c r="AR31" s="13">
        <f>'Base de données indicateurs1'!AR45</f>
        <v>423015.3</v>
      </c>
      <c r="AS31" s="13">
        <f>'Base de données indicateurs1'!AS45</f>
        <v>15722.4</v>
      </c>
      <c r="AT31" s="13">
        <f>'Base de données indicateurs1'!AT45</f>
        <v>68498.5</v>
      </c>
      <c r="AU31" s="13">
        <f>'Base de données indicateurs1'!AU45</f>
        <v>31234</v>
      </c>
      <c r="AV31" s="13">
        <f>'Base de données indicateurs1'!AV45</f>
        <v>0</v>
      </c>
      <c r="AW31" s="13">
        <f>'Base de données indicateurs1'!AW45</f>
        <v>28453.55</v>
      </c>
      <c r="AX31" s="13">
        <f>'Base de données indicateurs1'!AX45</f>
        <v>11653.4</v>
      </c>
      <c r="AY31" s="13">
        <f>'Base de données indicateurs1'!AY45</f>
        <v>39891.800000000003</v>
      </c>
      <c r="AZ31" s="13">
        <f>'Base de données indicateurs1'!AZ45</f>
        <v>63599.9</v>
      </c>
      <c r="BA31" s="13">
        <f>'Base de données indicateurs1'!BA45</f>
        <v>33410.15</v>
      </c>
      <c r="BB31" s="13">
        <f>'Base de données indicateurs1'!BB45</f>
        <v>98207</v>
      </c>
      <c r="BC31" s="13">
        <f>'Base de données indicateurs1'!BC45</f>
        <v>42360</v>
      </c>
      <c r="BD31" s="13">
        <f>'Base de données indicateurs1'!BD45</f>
        <v>295146.59999999998</v>
      </c>
      <c r="BE31" s="13">
        <f>'Base de données indicateurs1'!BE45</f>
        <v>44312.6</v>
      </c>
      <c r="BF31" s="13">
        <f t="shared" si="0"/>
        <v>2062428.3</v>
      </c>
      <c r="BG31" s="13">
        <f t="shared" si="1"/>
        <v>446691.6</v>
      </c>
      <c r="BH31" s="13">
        <f t="shared" si="2"/>
        <v>1674255.5</v>
      </c>
      <c r="BK31" s="13"/>
    </row>
    <row r="32" spans="1:63" x14ac:dyDescent="0.2">
      <c r="A32" s="162" t="s">
        <v>550</v>
      </c>
      <c r="B32" s="163" t="s">
        <v>225</v>
      </c>
      <c r="C32" s="162">
        <v>444</v>
      </c>
      <c r="D32" s="164">
        <f>'Base de données indicateurs1'!BF46</f>
        <v>1157700.74</v>
      </c>
      <c r="E32" s="13">
        <f>'Base de données indicateurs1'!E46</f>
        <v>0</v>
      </c>
      <c r="F32" s="13">
        <f>'Base de données indicateurs1'!F46</f>
        <v>0</v>
      </c>
      <c r="G32" s="13">
        <f>'Base de données indicateurs1'!G46</f>
        <v>129798.25</v>
      </c>
      <c r="H32" s="13">
        <f>'Base de données indicateurs1'!H46</f>
        <v>0</v>
      </c>
      <c r="I32" s="13">
        <f>'Base de données indicateurs1'!I46</f>
        <v>18080</v>
      </c>
      <c r="J32" s="13">
        <f>'Base de données indicateurs1'!J46</f>
        <v>40</v>
      </c>
      <c r="K32" s="13">
        <f>'Base de données indicateurs1'!K46</f>
        <v>0</v>
      </c>
      <c r="L32" s="13">
        <f>'Base de données indicateurs1'!L46</f>
        <v>0</v>
      </c>
      <c r="M32" s="13">
        <f>'Base de données indicateurs1'!M46</f>
        <v>40</v>
      </c>
      <c r="N32" s="13">
        <f>'Base de données indicateurs1'!N46</f>
        <v>0</v>
      </c>
      <c r="O32" s="13">
        <f>'Base de données indicateurs1'!O46</f>
        <v>9351</v>
      </c>
      <c r="P32" s="13">
        <f>'Base de données indicateurs1'!P46</f>
        <v>0</v>
      </c>
      <c r="Q32" s="13">
        <f>'Base de données indicateurs1'!Q46</f>
        <v>20</v>
      </c>
      <c r="R32" s="13">
        <f>'Base de données indicateurs1'!R46</f>
        <v>0</v>
      </c>
      <c r="S32" s="13">
        <f>'Base de données indicateurs1'!S46</f>
        <v>0</v>
      </c>
      <c r="T32" s="13">
        <f>'Base de données indicateurs1'!T46</f>
        <v>0</v>
      </c>
      <c r="U32" s="13">
        <f>'Base de données indicateurs1'!U46</f>
        <v>0</v>
      </c>
      <c r="V32" s="13">
        <f>'Base de données indicateurs1'!V46</f>
        <v>0</v>
      </c>
      <c r="W32" s="13">
        <f>'Base de données indicateurs1'!W46</f>
        <v>2399</v>
      </c>
      <c r="X32" s="13">
        <f>'Base de données indicateurs1'!X46</f>
        <v>1</v>
      </c>
      <c r="Y32" s="13">
        <f>'Base de données indicateurs1'!Y46</f>
        <v>0</v>
      </c>
      <c r="Z32" s="13">
        <f>'Base de données indicateurs1'!Z46</f>
        <v>0</v>
      </c>
      <c r="AA32" s="13">
        <f>'Base de données indicateurs1'!AA46</f>
        <v>10.4</v>
      </c>
      <c r="AB32" s="13">
        <f>'Base de données indicateurs1'!AB46</f>
        <v>2416</v>
      </c>
      <c r="AC32" s="13">
        <f>'Base de données indicateurs1'!AC46</f>
        <v>3160</v>
      </c>
      <c r="AD32" s="13">
        <f>'Base de données indicateurs1'!AD46</f>
        <v>20</v>
      </c>
      <c r="AE32" s="13">
        <f>'Base de données indicateurs1'!AE46</f>
        <v>100</v>
      </c>
      <c r="AF32" s="13">
        <f>'Base de données indicateurs1'!AF46</f>
        <v>0</v>
      </c>
      <c r="AG32" s="13">
        <f>'Base de données indicateurs1'!AG46</f>
        <v>25280</v>
      </c>
      <c r="AH32" s="13">
        <f>'Base de données indicateurs1'!AH46</f>
        <v>8200</v>
      </c>
      <c r="AI32" s="13">
        <f>'Base de données indicateurs1'!AI46</f>
        <v>0</v>
      </c>
      <c r="AJ32" s="13">
        <f>'Base de données indicateurs1'!AJ46</f>
        <v>60</v>
      </c>
      <c r="AK32" s="13">
        <f>'Base de données indicateurs1'!AK46</f>
        <v>0</v>
      </c>
      <c r="AL32" s="13">
        <f>'Base de données indicateurs1'!AL46</f>
        <v>4740</v>
      </c>
      <c r="AM32" s="13">
        <f>'Base de données indicateurs1'!AM46</f>
        <v>0</v>
      </c>
      <c r="AN32" s="13">
        <f>'Base de données indicateurs1'!AN46</f>
        <v>0</v>
      </c>
      <c r="AO32" s="13">
        <f>'Base de données indicateurs1'!AO46</f>
        <v>0</v>
      </c>
      <c r="AP32" s="13">
        <f>'Base de données indicateurs1'!AP46</f>
        <v>0</v>
      </c>
      <c r="AQ32" s="13">
        <f>'Base de données indicateurs1'!AQ46</f>
        <v>6000</v>
      </c>
      <c r="AR32" s="13">
        <f>'Base de données indicateurs1'!AR46</f>
        <v>0</v>
      </c>
      <c r="AS32" s="13">
        <f>'Base de données indicateurs1'!AS46</f>
        <v>19750</v>
      </c>
      <c r="AT32" s="13">
        <f>'Base de données indicateurs1'!AT46</f>
        <v>20</v>
      </c>
      <c r="AU32" s="13">
        <f>'Base de données indicateurs1'!AU46</f>
        <v>0</v>
      </c>
      <c r="AV32" s="13">
        <f>'Base de données indicateurs1'!AV46</f>
        <v>0</v>
      </c>
      <c r="AW32" s="13">
        <f>'Base de données indicateurs1'!AW46</f>
        <v>6320</v>
      </c>
      <c r="AX32" s="13">
        <f>'Base de données indicateurs1'!AX46</f>
        <v>0</v>
      </c>
      <c r="AY32" s="13">
        <f>'Base de données indicateurs1'!AY46</f>
        <v>0</v>
      </c>
      <c r="AZ32" s="13">
        <f>'Base de données indicateurs1'!AZ46</f>
        <v>8800</v>
      </c>
      <c r="BA32" s="13">
        <f>'Base de données indicateurs1'!BA46</f>
        <v>40</v>
      </c>
      <c r="BB32" s="13">
        <f>'Base de données indicateurs1'!BB46</f>
        <v>3700</v>
      </c>
      <c r="BC32" s="13">
        <f>'Base de données indicateurs1'!BC46</f>
        <v>0</v>
      </c>
      <c r="BD32" s="13">
        <f>'Base de données indicateurs1'!BD46</f>
        <v>909355.09</v>
      </c>
      <c r="BE32" s="13">
        <f>'Base de données indicateurs1'!BE46</f>
        <v>0</v>
      </c>
      <c r="BF32" s="13">
        <f t="shared" si="0"/>
        <v>159728.25</v>
      </c>
      <c r="BG32" s="13">
        <f t="shared" si="1"/>
        <v>39247.4</v>
      </c>
      <c r="BH32" s="13">
        <f t="shared" si="2"/>
        <v>958725.09</v>
      </c>
      <c r="BK32" s="13"/>
    </row>
    <row r="33" spans="1:63" ht="15" thickBot="1" x14ac:dyDescent="0.25">
      <c r="A33" s="165"/>
      <c r="B33" s="166"/>
      <c r="C33" s="165"/>
      <c r="D33" s="167"/>
      <c r="BF33" s="13"/>
      <c r="BG33" s="13"/>
      <c r="BH33" s="13"/>
      <c r="BK33" s="13"/>
    </row>
    <row r="34" spans="1:63" ht="15.75" thickBot="1" x14ac:dyDescent="0.3">
      <c r="A34" s="7" t="s">
        <v>551</v>
      </c>
      <c r="B34" s="112"/>
      <c r="C34" s="7"/>
      <c r="D34" s="168">
        <f>D27-D28-D29-D30-D31-D32</f>
        <v>-185767.01999999979</v>
      </c>
      <c r="E34" s="177">
        <f>E27-E28-E29-E30-E31-E32</f>
        <v>-797.79999999999563</v>
      </c>
      <c r="F34" s="167">
        <f t="shared" ref="F34:BE34" si="7">F27-F28-F29-F30-F31-F32</f>
        <v>98855.989999999991</v>
      </c>
      <c r="G34" s="167">
        <f t="shared" si="7"/>
        <v>-165634.04999999999</v>
      </c>
      <c r="H34" s="167">
        <f t="shared" si="7"/>
        <v>72999.25</v>
      </c>
      <c r="I34" s="167">
        <f t="shared" si="7"/>
        <v>-49737</v>
      </c>
      <c r="J34" s="167">
        <f t="shared" si="7"/>
        <v>-7191.8000000000029</v>
      </c>
      <c r="K34" s="167">
        <f t="shared" si="7"/>
        <v>29029.62000000001</v>
      </c>
      <c r="L34" s="167">
        <f t="shared" si="7"/>
        <v>394513.7899999998</v>
      </c>
      <c r="M34" s="167">
        <f t="shared" si="7"/>
        <v>-3425.739999999998</v>
      </c>
      <c r="N34" s="167">
        <f t="shared" si="7"/>
        <v>-16432.87</v>
      </c>
      <c r="O34" s="167">
        <f t="shared" si="7"/>
        <v>45203.820000000007</v>
      </c>
      <c r="P34" s="167">
        <f t="shared" si="7"/>
        <v>10909.509999999995</v>
      </c>
      <c r="Q34" s="167">
        <f t="shared" si="7"/>
        <v>-2840.4800000000005</v>
      </c>
      <c r="R34" s="167">
        <f t="shared" si="7"/>
        <v>135319.26</v>
      </c>
      <c r="S34" s="167">
        <f t="shared" si="7"/>
        <v>51220.72</v>
      </c>
      <c r="T34" s="167">
        <f t="shared" si="7"/>
        <v>-9671.8099999999977</v>
      </c>
      <c r="U34" s="167">
        <f t="shared" si="7"/>
        <v>5185.8900000000012</v>
      </c>
      <c r="V34" s="167">
        <f t="shared" si="7"/>
        <v>11891.54</v>
      </c>
      <c r="W34" s="167">
        <f t="shared" si="7"/>
        <v>-82206.23</v>
      </c>
      <c r="X34" s="167">
        <f t="shared" si="7"/>
        <v>59747.86</v>
      </c>
      <c r="Y34" s="167">
        <f t="shared" si="7"/>
        <v>42842.31</v>
      </c>
      <c r="Z34" s="167">
        <f t="shared" si="7"/>
        <v>-25121.56</v>
      </c>
      <c r="AA34" s="167">
        <f t="shared" si="7"/>
        <v>-11564.08</v>
      </c>
      <c r="AB34" s="167">
        <f t="shared" si="7"/>
        <v>-16077.9</v>
      </c>
      <c r="AC34" s="167">
        <f t="shared" si="7"/>
        <v>28388.060000000005</v>
      </c>
      <c r="AD34" s="167">
        <f t="shared" si="7"/>
        <v>-52384.62999999999</v>
      </c>
      <c r="AE34" s="167">
        <f t="shared" si="7"/>
        <v>18315.659999999996</v>
      </c>
      <c r="AF34" s="167">
        <f t="shared" si="7"/>
        <v>12577.87000000001</v>
      </c>
      <c r="AG34" s="167">
        <f t="shared" si="7"/>
        <v>-67948.180000000008</v>
      </c>
      <c r="AH34" s="167">
        <f t="shared" si="7"/>
        <v>55636.570000000007</v>
      </c>
      <c r="AI34" s="167">
        <f t="shared" si="7"/>
        <v>0</v>
      </c>
      <c r="AJ34" s="167">
        <f t="shared" si="7"/>
        <v>-178644.73</v>
      </c>
      <c r="AK34" s="167">
        <f t="shared" si="7"/>
        <v>124939.04000000001</v>
      </c>
      <c r="AL34" s="167">
        <f t="shared" si="7"/>
        <v>-40650</v>
      </c>
      <c r="AM34" s="167">
        <f t="shared" si="7"/>
        <v>36354.209999999992</v>
      </c>
      <c r="AN34" s="167">
        <f t="shared" si="7"/>
        <v>6135.25</v>
      </c>
      <c r="AO34" s="167">
        <f t="shared" si="7"/>
        <v>-23300.449999999983</v>
      </c>
      <c r="AP34" s="167">
        <f t="shared" si="7"/>
        <v>13990.98000000001</v>
      </c>
      <c r="AQ34" s="167">
        <f t="shared" si="7"/>
        <v>12991</v>
      </c>
      <c r="AR34" s="167">
        <f t="shared" si="7"/>
        <v>-210997.68</v>
      </c>
      <c r="AS34" s="167">
        <f t="shared" si="7"/>
        <v>16151.119999999995</v>
      </c>
      <c r="AT34" s="167">
        <f t="shared" si="7"/>
        <v>49399.729999999996</v>
      </c>
      <c r="AU34" s="167">
        <f t="shared" si="7"/>
        <v>-18571.14</v>
      </c>
      <c r="AV34" s="167">
        <f t="shared" si="7"/>
        <v>113517.92</v>
      </c>
      <c r="AW34" s="167">
        <f t="shared" si="7"/>
        <v>23077.570000000003</v>
      </c>
      <c r="AX34" s="167">
        <f t="shared" si="7"/>
        <v>-7379.68</v>
      </c>
      <c r="AY34" s="167">
        <f t="shared" si="7"/>
        <v>-35484.880000000005</v>
      </c>
      <c r="AZ34" s="167">
        <f t="shared" si="7"/>
        <v>153282.28</v>
      </c>
      <c r="BA34" s="167">
        <f t="shared" si="7"/>
        <v>-21255.680000000004</v>
      </c>
      <c r="BB34" s="167">
        <f t="shared" si="7"/>
        <v>-61471</v>
      </c>
      <c r="BC34" s="167">
        <f t="shared" si="7"/>
        <v>-47400.93</v>
      </c>
      <c r="BD34" s="167">
        <f t="shared" si="7"/>
        <v>-617184.82999999996</v>
      </c>
      <c r="BE34" s="167">
        <f t="shared" si="7"/>
        <v>-34868.71</v>
      </c>
      <c r="BF34" s="13">
        <f t="shared" si="0"/>
        <v>517191.61</v>
      </c>
      <c r="BG34" s="13">
        <f t="shared" si="1"/>
        <v>-134232.75</v>
      </c>
      <c r="BH34" s="13">
        <f t="shared" si="2"/>
        <v>-568725.87999999989</v>
      </c>
      <c r="BK34" s="13"/>
    </row>
    <row r="35" spans="1:63" ht="15" x14ac:dyDescent="0.25">
      <c r="A35" s="7"/>
      <c r="B35" s="112"/>
      <c r="C35" s="7"/>
      <c r="D35" s="167"/>
      <c r="BF35" s="13"/>
      <c r="BG35" s="13"/>
      <c r="BH35" s="13"/>
      <c r="BK35" s="13"/>
    </row>
    <row r="36" spans="1:63" x14ac:dyDescent="0.2">
      <c r="A36" s="159" t="s">
        <v>552</v>
      </c>
      <c r="B36" s="160" t="s">
        <v>224</v>
      </c>
      <c r="C36" s="159">
        <v>400</v>
      </c>
      <c r="D36" s="161">
        <f>'Base de données indicateurs1'!BF39</f>
        <v>170790423.49000001</v>
      </c>
      <c r="E36" s="13">
        <f>'Base de données indicateurs1'!E39</f>
        <v>2262700.1</v>
      </c>
      <c r="F36" s="13">
        <f>'Base de données indicateurs1'!F39</f>
        <v>394584.4</v>
      </c>
      <c r="G36" s="13">
        <f>'Base de données indicateurs1'!G39</f>
        <v>1139128.03</v>
      </c>
      <c r="H36" s="13">
        <f>'Base de données indicateurs1'!H39</f>
        <v>950656.41</v>
      </c>
      <c r="I36" s="13">
        <f>'Base de données indicateurs1'!I39</f>
        <v>7671731</v>
      </c>
      <c r="J36" s="13">
        <f>'Base de données indicateurs1'!J39</f>
        <v>7674815.9800000004</v>
      </c>
      <c r="K36" s="13">
        <f>'Base de données indicateurs1'!K39</f>
        <v>6509152.8200000003</v>
      </c>
      <c r="L36" s="13">
        <f>'Base de données indicateurs1'!L39</f>
        <v>29188230.370000001</v>
      </c>
      <c r="M36" s="13">
        <f>'Base de données indicateurs1'!M39</f>
        <v>3029773.01</v>
      </c>
      <c r="N36" s="13">
        <f>'Base de données indicateurs1'!N39</f>
        <v>191379.45</v>
      </c>
      <c r="O36" s="13">
        <f>'Base de données indicateurs1'!O39</f>
        <v>14939845.5</v>
      </c>
      <c r="P36" s="13">
        <f>'Base de données indicateurs1'!P39</f>
        <v>1017923.84</v>
      </c>
      <c r="Q36" s="13">
        <f>'Base de données indicateurs1'!Q39</f>
        <v>207778.13</v>
      </c>
      <c r="R36" s="13">
        <f>'Base de données indicateurs1'!R39</f>
        <v>999136.44</v>
      </c>
      <c r="S36" s="13">
        <f>'Base de données indicateurs1'!S39</f>
        <v>640644.31000000006</v>
      </c>
      <c r="T36" s="13">
        <f>'Base de données indicateurs1'!T39</f>
        <v>2080807.3</v>
      </c>
      <c r="U36" s="13">
        <f>'Base de données indicateurs1'!U39</f>
        <v>447890.85</v>
      </c>
      <c r="V36" s="13">
        <f>'Base de données indicateurs1'!V39</f>
        <v>1095422.74</v>
      </c>
      <c r="W36" s="13">
        <f>'Base de données indicateurs1'!W39</f>
        <v>6728443.8799999999</v>
      </c>
      <c r="X36" s="13">
        <f>'Base de données indicateurs1'!X39</f>
        <v>746834.75</v>
      </c>
      <c r="Y36" s="13">
        <f>'Base de données indicateurs1'!Y39</f>
        <v>4344563.7</v>
      </c>
      <c r="Z36" s="13">
        <f>'Base de données indicateurs1'!Z39</f>
        <v>3016734.59</v>
      </c>
      <c r="AA36" s="13">
        <f>'Base de données indicateurs1'!AA39</f>
        <v>162980.45000000001</v>
      </c>
      <c r="AB36" s="13">
        <f>'Base de données indicateurs1'!AB39</f>
        <v>290960.59000000003</v>
      </c>
      <c r="AC36" s="13">
        <f>'Base de données indicateurs1'!AC39</f>
        <v>1263965.1499999999</v>
      </c>
      <c r="AD36" s="13">
        <f>'Base de données indicateurs1'!AD39</f>
        <v>1550453.62</v>
      </c>
      <c r="AE36" s="13">
        <f>'Base de données indicateurs1'!AE39</f>
        <v>1150391.33</v>
      </c>
      <c r="AF36" s="13">
        <f>'Base de données indicateurs1'!AF39</f>
        <v>1344189.14</v>
      </c>
      <c r="AG36" s="13">
        <f>'Base de données indicateurs1'!AG39</f>
        <v>4697662.17</v>
      </c>
      <c r="AH36" s="13">
        <f>'Base de données indicateurs1'!AH39</f>
        <v>6280726.4000000004</v>
      </c>
      <c r="AI36" s="13">
        <f>'Base de données indicateurs1'!AI39</f>
        <v>561108</v>
      </c>
      <c r="AJ36" s="13">
        <f>'Base de données indicateurs1'!AJ39</f>
        <v>246941.98</v>
      </c>
      <c r="AK36" s="13">
        <f>'Base de données indicateurs1'!AK39</f>
        <v>4913883.17</v>
      </c>
      <c r="AL36" s="13">
        <f>'Base de données indicateurs1'!AL39</f>
        <v>2112923</v>
      </c>
      <c r="AM36" s="13">
        <f>'Base de données indicateurs1'!AM39</f>
        <v>2384568.14</v>
      </c>
      <c r="AN36" s="13">
        <f>'Base de données indicateurs1'!AN39</f>
        <v>269179</v>
      </c>
      <c r="AO36" s="13">
        <f>'Base de données indicateurs1'!AO39</f>
        <v>3543365.99</v>
      </c>
      <c r="AP36" s="13">
        <f>'Base de données indicateurs1'!AP39</f>
        <v>1427538.26</v>
      </c>
      <c r="AQ36" s="13">
        <f>'Base de données indicateurs1'!AQ39</f>
        <v>1396588</v>
      </c>
      <c r="AR36" s="13">
        <f>'Base de données indicateurs1'!AR39</f>
        <v>2314628.2999999998</v>
      </c>
      <c r="AS36" s="13">
        <f>'Base de données indicateurs1'!AS39</f>
        <v>1555418.93</v>
      </c>
      <c r="AT36" s="13">
        <f>'Base de données indicateurs1'!AT39</f>
        <v>2260301.69</v>
      </c>
      <c r="AU36" s="13">
        <f>'Base de données indicateurs1'!AU39</f>
        <v>665145.5</v>
      </c>
      <c r="AV36" s="13">
        <f>'Base de données indicateurs1'!AV39</f>
        <v>5397412.5199999996</v>
      </c>
      <c r="AW36" s="13">
        <f>'Base de données indicateurs1'!AW39</f>
        <v>1851760.6</v>
      </c>
      <c r="AX36" s="13">
        <f>'Base de données indicateurs1'!AX39</f>
        <v>313766.09999999998</v>
      </c>
      <c r="AY36" s="13">
        <f>'Base de données indicateurs1'!AY39</f>
        <v>678698.3</v>
      </c>
      <c r="AZ36" s="13">
        <f>'Base de données indicateurs1'!AZ39</f>
        <v>4101354</v>
      </c>
      <c r="BA36" s="13">
        <f>'Base de données indicateurs1'!BA39</f>
        <v>693667.73</v>
      </c>
      <c r="BB36" s="13">
        <f>'Base de données indicateurs1'!BB39</f>
        <v>2709050</v>
      </c>
      <c r="BC36" s="13">
        <f>'Base de données indicateurs1'!BC39</f>
        <v>301178.40000000002</v>
      </c>
      <c r="BD36" s="13">
        <f>'Base de données indicateurs1'!BD39</f>
        <v>17855510.039999999</v>
      </c>
      <c r="BE36" s="13">
        <f>'Base de données indicateurs1'!BE39</f>
        <v>1216929.3899999999</v>
      </c>
      <c r="BF36" s="13">
        <f t="shared" si="0"/>
        <v>87170044.559999973</v>
      </c>
      <c r="BG36" s="13">
        <f t="shared" si="1"/>
        <v>25657511.870000001</v>
      </c>
      <c r="BH36" s="13">
        <f t="shared" si="2"/>
        <v>57962867.059999995</v>
      </c>
      <c r="BK36" s="13"/>
    </row>
    <row r="37" spans="1:63" x14ac:dyDescent="0.2">
      <c r="A37" s="162" t="s">
        <v>553</v>
      </c>
      <c r="B37" s="163" t="s">
        <v>224</v>
      </c>
      <c r="C37" s="162">
        <v>401</v>
      </c>
      <c r="D37" s="164">
        <f>'Base de données indicateurs1'!BF40</f>
        <v>26325477.629999988</v>
      </c>
      <c r="E37" s="13">
        <f>'Base de données indicateurs1'!E40</f>
        <v>104082.17</v>
      </c>
      <c r="F37" s="13">
        <f>'Base de données indicateurs1'!F40</f>
        <v>4199.7</v>
      </c>
      <c r="G37" s="13">
        <f>'Base de données indicateurs1'!G40</f>
        <v>-8741.4500000000007</v>
      </c>
      <c r="H37" s="13">
        <f>'Base de données indicateurs1'!H40</f>
        <v>-15810.9</v>
      </c>
      <c r="I37" s="13">
        <f>'Base de données indicateurs1'!I40</f>
        <v>410566</v>
      </c>
      <c r="J37" s="13">
        <f>'Base de données indicateurs1'!J40</f>
        <v>435109.2</v>
      </c>
      <c r="K37" s="13">
        <f>'Base de données indicateurs1'!K40</f>
        <v>1158851.46</v>
      </c>
      <c r="L37" s="13">
        <f>'Base de données indicateurs1'!L40</f>
        <v>4132816.72</v>
      </c>
      <c r="M37" s="13">
        <f>'Base de données indicateurs1'!M40</f>
        <v>169303.3</v>
      </c>
      <c r="N37" s="13">
        <f>'Base de données indicateurs1'!N40</f>
        <v>10437.31</v>
      </c>
      <c r="O37" s="13">
        <f>'Base de données indicateurs1'!O40</f>
        <v>1422894.55</v>
      </c>
      <c r="P37" s="13">
        <f>'Base de données indicateurs1'!P40</f>
        <v>1536.15</v>
      </c>
      <c r="Q37" s="13">
        <f>'Base de données indicateurs1'!Q40</f>
        <v>400.65</v>
      </c>
      <c r="R37" s="13">
        <f>'Base de données indicateurs1'!R40</f>
        <v>634.11</v>
      </c>
      <c r="S37" s="13">
        <f>'Base de données indicateurs1'!S40</f>
        <v>2644.55</v>
      </c>
      <c r="T37" s="13">
        <f>'Base de données indicateurs1'!T40</f>
        <v>-10344.4</v>
      </c>
      <c r="U37" s="13">
        <f>'Base de données indicateurs1'!U40</f>
        <v>4057.45</v>
      </c>
      <c r="V37" s="13">
        <f>'Base de données indicateurs1'!V40</f>
        <v>242179.35</v>
      </c>
      <c r="W37" s="13">
        <f>'Base de données indicateurs1'!W40</f>
        <v>414822.18</v>
      </c>
      <c r="X37" s="13">
        <f>'Base de données indicateurs1'!X40</f>
        <v>4574.2</v>
      </c>
      <c r="Y37" s="13">
        <f>'Base de données indicateurs1'!Y40</f>
        <v>112507.6</v>
      </c>
      <c r="Z37" s="13">
        <f>'Base de données indicateurs1'!Z40</f>
        <v>6938409.75</v>
      </c>
      <c r="AA37" s="13">
        <f>'Base de données indicateurs1'!AA40</f>
        <v>102.2</v>
      </c>
      <c r="AB37" s="13">
        <f>'Base de données indicateurs1'!AB40</f>
        <v>-5685.3</v>
      </c>
      <c r="AC37" s="13">
        <f>'Base de données indicateurs1'!AC40</f>
        <v>72681.350000000006</v>
      </c>
      <c r="AD37" s="13">
        <f>'Base de données indicateurs1'!AD40</f>
        <v>74341.350000000006</v>
      </c>
      <c r="AE37" s="13">
        <f>'Base de données indicateurs1'!AE40</f>
        <v>23967.7</v>
      </c>
      <c r="AF37" s="13">
        <f>'Base de données indicateurs1'!AF40</f>
        <v>48888.36</v>
      </c>
      <c r="AG37" s="13">
        <f>'Base de données indicateurs1'!AG40</f>
        <v>1308463.1000000001</v>
      </c>
      <c r="AH37" s="13">
        <f>'Base de données indicateurs1'!AH40</f>
        <v>480060.95</v>
      </c>
      <c r="AI37" s="13">
        <f>'Base de données indicateurs1'!AI40</f>
        <v>0</v>
      </c>
      <c r="AJ37" s="13">
        <f>'Base de données indicateurs1'!AJ40</f>
        <v>-559.15</v>
      </c>
      <c r="AK37" s="13">
        <f>'Base de données indicateurs1'!AK40</f>
        <v>381200.4</v>
      </c>
      <c r="AL37" s="13">
        <f>'Base de données indicateurs1'!AL40</f>
        <v>15337</v>
      </c>
      <c r="AM37" s="13">
        <f>'Base de données indicateurs1'!AM40</f>
        <v>70712.149999999994</v>
      </c>
      <c r="AN37" s="13">
        <f>'Base de données indicateurs1'!AN40</f>
        <v>41575</v>
      </c>
      <c r="AO37" s="13">
        <f>'Base de données indicateurs1'!AO40</f>
        <v>4126565.45</v>
      </c>
      <c r="AP37" s="13">
        <f>'Base de données indicateurs1'!AP40</f>
        <v>-20679.21</v>
      </c>
      <c r="AQ37" s="13">
        <f>'Base de données indicateurs1'!AQ40</f>
        <v>126130</v>
      </c>
      <c r="AR37" s="13">
        <f>'Base de données indicateurs1'!AR40</f>
        <v>21170.65</v>
      </c>
      <c r="AS37" s="13">
        <f>'Base de données indicateurs1'!AS40</f>
        <v>24447.4</v>
      </c>
      <c r="AT37" s="13">
        <f>'Base de données indicateurs1'!AT40</f>
        <v>18304.88</v>
      </c>
      <c r="AU37" s="13">
        <f>'Base de données indicateurs1'!AU40</f>
        <v>124189.1</v>
      </c>
      <c r="AV37" s="13">
        <f>'Base de données indicateurs1'!AV40</f>
        <v>395818.19</v>
      </c>
      <c r="AW37" s="13">
        <f>'Base de données indicateurs1'!AW40</f>
        <v>374940.27</v>
      </c>
      <c r="AX37" s="13">
        <f>'Base de données indicateurs1'!AX40</f>
        <v>7008.05</v>
      </c>
      <c r="AY37" s="13">
        <f>'Base de données indicateurs1'!AY40</f>
        <v>11008.4</v>
      </c>
      <c r="AZ37" s="13">
        <f>'Base de données indicateurs1'!AZ40</f>
        <v>49702.400000000001</v>
      </c>
      <c r="BA37" s="13">
        <f>'Base de données indicateurs1'!BA40</f>
        <v>16074.4</v>
      </c>
      <c r="BB37" s="13">
        <f>'Base de données indicateurs1'!BB40</f>
        <v>302844</v>
      </c>
      <c r="BC37" s="13">
        <f>'Base de données indicateurs1'!BC40</f>
        <v>10835.15</v>
      </c>
      <c r="BD37" s="13">
        <f>'Base de données indicateurs1'!BD40</f>
        <v>2575460.19</v>
      </c>
      <c r="BE37" s="13">
        <f>'Base de données indicateurs1'!BE40</f>
        <v>115443.55</v>
      </c>
      <c r="BF37" s="13">
        <f t="shared" si="0"/>
        <v>8479638.0999999996</v>
      </c>
      <c r="BG37" s="13">
        <f t="shared" si="1"/>
        <v>9057752.1099999994</v>
      </c>
      <c r="BH37" s="13">
        <f t="shared" si="2"/>
        <v>8788087.4200000037</v>
      </c>
      <c r="BK37" s="13"/>
    </row>
    <row r="38" spans="1:63" x14ac:dyDescent="0.2">
      <c r="A38" s="162" t="s">
        <v>139</v>
      </c>
      <c r="B38" s="163" t="s">
        <v>224</v>
      </c>
      <c r="C38" s="162">
        <v>402</v>
      </c>
      <c r="D38" s="164">
        <f>'Base de données indicateurs1'!BF41</f>
        <v>25936532.199999999</v>
      </c>
      <c r="E38" s="13">
        <f>'Base de données indicateurs1'!E41</f>
        <v>232616.5</v>
      </c>
      <c r="F38" s="13">
        <f>'Base de données indicateurs1'!F41</f>
        <v>134798.39999999999</v>
      </c>
      <c r="G38" s="13">
        <f>'Base de données indicateurs1'!G41</f>
        <v>185978.35</v>
      </c>
      <c r="H38" s="13">
        <f>'Base de données indicateurs1'!H41</f>
        <v>123590.03</v>
      </c>
      <c r="I38" s="13">
        <f>'Base de données indicateurs1'!I41</f>
        <v>1290471</v>
      </c>
      <c r="J38" s="13">
        <f>'Base de données indicateurs1'!J41</f>
        <v>1014914.21</v>
      </c>
      <c r="K38" s="13">
        <f>'Base de données indicateurs1'!K41</f>
        <v>583017.75</v>
      </c>
      <c r="L38" s="13">
        <f>'Base de données indicateurs1'!L41</f>
        <v>4520498.41</v>
      </c>
      <c r="M38" s="13">
        <f>'Base de données indicateurs1'!M41</f>
        <v>380573.95</v>
      </c>
      <c r="N38" s="13">
        <f>'Base de données indicateurs1'!N41</f>
        <v>27755.9</v>
      </c>
      <c r="O38" s="13">
        <f>'Base de données indicateurs1'!O41</f>
        <v>2239996.15</v>
      </c>
      <c r="P38" s="13">
        <f>'Base de données indicateurs1'!P41</f>
        <v>199185.77</v>
      </c>
      <c r="Q38" s="13">
        <f>'Base de données indicateurs1'!Q41</f>
        <v>63778.1</v>
      </c>
      <c r="R38" s="13">
        <f>'Base de données indicateurs1'!R41</f>
        <v>105021.25</v>
      </c>
      <c r="S38" s="13">
        <f>'Base de données indicateurs1'!S41</f>
        <v>136211.6</v>
      </c>
      <c r="T38" s="13">
        <f>'Base de données indicateurs1'!T41</f>
        <v>234255.15</v>
      </c>
      <c r="U38" s="13">
        <f>'Base de données indicateurs1'!U41</f>
        <v>56002</v>
      </c>
      <c r="V38" s="13">
        <f>'Base de données indicateurs1'!V41</f>
        <v>132074.25</v>
      </c>
      <c r="W38" s="13">
        <f>'Base de données indicateurs1'!W41</f>
        <v>1053641.1000000001</v>
      </c>
      <c r="X38" s="13">
        <f>'Base de données indicateurs1'!X41</f>
        <v>137531.1</v>
      </c>
      <c r="Y38" s="13">
        <f>'Base de données indicateurs1'!Y41</f>
        <v>363171.6</v>
      </c>
      <c r="Z38" s="13">
        <f>'Base de données indicateurs1'!Z41</f>
        <v>441259.63</v>
      </c>
      <c r="AA38" s="13">
        <f>'Base de données indicateurs1'!AA41</f>
        <v>67345.600000000006</v>
      </c>
      <c r="AB38" s="13">
        <f>'Base de données indicateurs1'!AB41</f>
        <v>50604.15</v>
      </c>
      <c r="AC38" s="13">
        <f>'Base de données indicateurs1'!AC41</f>
        <v>179387.8</v>
      </c>
      <c r="AD38" s="13">
        <f>'Base de données indicateurs1'!AD41</f>
        <v>244804.55</v>
      </c>
      <c r="AE38" s="13">
        <f>'Base de données indicateurs1'!AE41</f>
        <v>216397.45</v>
      </c>
      <c r="AF38" s="13">
        <f>'Base de données indicateurs1'!AF41</f>
        <v>205025.8</v>
      </c>
      <c r="AG38" s="13">
        <f>'Base de données indicateurs1'!AG41</f>
        <v>680175</v>
      </c>
      <c r="AH38" s="13">
        <f>'Base de données indicateurs1'!AH41</f>
        <v>860106.65</v>
      </c>
      <c r="AI38" s="13">
        <f>'Base de données indicateurs1'!AI41</f>
        <v>0</v>
      </c>
      <c r="AJ38" s="13">
        <f>'Base de données indicateurs1'!AJ41</f>
        <v>69457.649999999994</v>
      </c>
      <c r="AK38" s="13">
        <f>'Base de données indicateurs1'!AK41</f>
        <v>692041.56</v>
      </c>
      <c r="AL38" s="13">
        <f>'Base de données indicateurs1'!AL41</f>
        <v>451447</v>
      </c>
      <c r="AM38" s="13">
        <f>'Base de données indicateurs1'!AM41</f>
        <v>465405.75</v>
      </c>
      <c r="AN38" s="13">
        <f>'Base de données indicateurs1'!AN41</f>
        <v>35824</v>
      </c>
      <c r="AO38" s="13">
        <f>'Base de données indicateurs1'!AO41</f>
        <v>486190.75</v>
      </c>
      <c r="AP38" s="13">
        <f>'Base de données indicateurs1'!AP41</f>
        <v>188734.8</v>
      </c>
      <c r="AQ38" s="13">
        <f>'Base de données indicateurs1'!AQ41</f>
        <v>166180</v>
      </c>
      <c r="AR38" s="13">
        <f>'Base de données indicateurs1'!AR41</f>
        <v>609945.18000000005</v>
      </c>
      <c r="AS38" s="13">
        <f>'Base de données indicateurs1'!AS41</f>
        <v>261776.1</v>
      </c>
      <c r="AT38" s="13">
        <f>'Base de données indicateurs1'!AT41</f>
        <v>248060.15</v>
      </c>
      <c r="AU38" s="13">
        <f>'Base de données indicateurs1'!AU41</f>
        <v>88152</v>
      </c>
      <c r="AV38" s="13">
        <f>'Base de données indicateurs1'!AV41</f>
        <v>1001432.95</v>
      </c>
      <c r="AW38" s="13">
        <f>'Base de données indicateurs1'!AW41</f>
        <v>303470.05</v>
      </c>
      <c r="AX38" s="13">
        <f>'Base de données indicateurs1'!AX41</f>
        <v>78838</v>
      </c>
      <c r="AY38" s="13">
        <f>'Base de données indicateurs1'!AY41</f>
        <v>146578.96</v>
      </c>
      <c r="AZ38" s="13">
        <f>'Base de données indicateurs1'!AZ41</f>
        <v>652921.75</v>
      </c>
      <c r="BA38" s="13">
        <f>'Base de données indicateurs1'!BA41</f>
        <v>134055</v>
      </c>
      <c r="BB38" s="13">
        <f>'Base de données indicateurs1'!BB41</f>
        <v>488431</v>
      </c>
      <c r="BC38" s="13">
        <f>'Base de données indicateurs1'!BC41</f>
        <v>69493.05</v>
      </c>
      <c r="BD38" s="13">
        <f>'Base de données indicateurs1'!BD41</f>
        <v>2935619.56</v>
      </c>
      <c r="BE38" s="13">
        <f>'Base de données indicateurs1'!BE41</f>
        <v>202287.74</v>
      </c>
      <c r="BF38" s="13">
        <f t="shared" si="0"/>
        <v>12714379.869999999</v>
      </c>
      <c r="BG38" s="13">
        <f t="shared" si="1"/>
        <v>3515266.9799999995</v>
      </c>
      <c r="BH38" s="13">
        <f t="shared" si="2"/>
        <v>9706885.3499999996</v>
      </c>
      <c r="BK38" s="13"/>
    </row>
    <row r="39" spans="1:63" ht="15.75" thickBot="1" x14ac:dyDescent="0.3">
      <c r="A39" s="7"/>
      <c r="B39" s="112"/>
      <c r="C39" s="7"/>
      <c r="D39" s="167"/>
      <c r="BF39" s="13"/>
      <c r="BG39" s="13"/>
      <c r="BH39" s="13"/>
      <c r="BK39" s="13"/>
    </row>
    <row r="40" spans="1:63" ht="15.75" thickBot="1" x14ac:dyDescent="0.3">
      <c r="A40" s="7" t="s">
        <v>554</v>
      </c>
      <c r="B40" s="112"/>
      <c r="C40" s="7"/>
      <c r="D40" s="168">
        <f>SUM(D36:D38)</f>
        <v>223052433.31999999</v>
      </c>
      <c r="E40" s="177">
        <f>SUM(E36:E38)</f>
        <v>2599398.77</v>
      </c>
      <c r="F40" s="167">
        <f t="shared" ref="F40:BE40" si="8">SUM(F36:F38)</f>
        <v>533582.5</v>
      </c>
      <c r="G40" s="167">
        <f t="shared" si="8"/>
        <v>1316364.9300000002</v>
      </c>
      <c r="H40" s="167">
        <f t="shared" si="8"/>
        <v>1058435.54</v>
      </c>
      <c r="I40" s="167">
        <f t="shared" si="8"/>
        <v>9372768</v>
      </c>
      <c r="J40" s="167">
        <f t="shared" si="8"/>
        <v>9124839.3900000006</v>
      </c>
      <c r="K40" s="167">
        <f t="shared" si="8"/>
        <v>8251022.0300000003</v>
      </c>
      <c r="L40" s="167">
        <f t="shared" si="8"/>
        <v>37841545.5</v>
      </c>
      <c r="M40" s="167">
        <f t="shared" si="8"/>
        <v>3579650.26</v>
      </c>
      <c r="N40" s="167">
        <f t="shared" si="8"/>
        <v>229572.66</v>
      </c>
      <c r="O40" s="167">
        <f t="shared" si="8"/>
        <v>18602736.199999999</v>
      </c>
      <c r="P40" s="167">
        <f t="shared" si="8"/>
        <v>1218645.76</v>
      </c>
      <c r="Q40" s="167">
        <f t="shared" si="8"/>
        <v>271956.88</v>
      </c>
      <c r="R40" s="167">
        <f t="shared" si="8"/>
        <v>1104791.7999999998</v>
      </c>
      <c r="S40" s="167">
        <f t="shared" si="8"/>
        <v>779500.46000000008</v>
      </c>
      <c r="T40" s="167">
        <f t="shared" si="8"/>
        <v>2304718.0500000003</v>
      </c>
      <c r="U40" s="167">
        <f t="shared" si="8"/>
        <v>507950.3</v>
      </c>
      <c r="V40" s="167">
        <f t="shared" si="8"/>
        <v>1469676.34</v>
      </c>
      <c r="W40" s="167">
        <f t="shared" si="8"/>
        <v>8196907.1600000001</v>
      </c>
      <c r="X40" s="167">
        <f t="shared" si="8"/>
        <v>888940.04999999993</v>
      </c>
      <c r="Y40" s="167">
        <f t="shared" si="8"/>
        <v>4820242.8999999994</v>
      </c>
      <c r="Z40" s="167">
        <f t="shared" si="8"/>
        <v>10396403.970000001</v>
      </c>
      <c r="AA40" s="167">
        <f t="shared" si="8"/>
        <v>230428.25000000003</v>
      </c>
      <c r="AB40" s="167">
        <f t="shared" si="8"/>
        <v>335879.44000000006</v>
      </c>
      <c r="AC40" s="167">
        <f t="shared" si="8"/>
        <v>1516034.3</v>
      </c>
      <c r="AD40" s="167">
        <f t="shared" si="8"/>
        <v>1869599.5200000003</v>
      </c>
      <c r="AE40" s="167">
        <f t="shared" si="8"/>
        <v>1390756.48</v>
      </c>
      <c r="AF40" s="167">
        <f t="shared" si="8"/>
        <v>1598103.3</v>
      </c>
      <c r="AG40" s="167">
        <f t="shared" si="8"/>
        <v>6686300.2699999996</v>
      </c>
      <c r="AH40" s="167">
        <f t="shared" si="8"/>
        <v>7620894.0000000009</v>
      </c>
      <c r="AI40" s="167">
        <f t="shared" si="8"/>
        <v>561108</v>
      </c>
      <c r="AJ40" s="167">
        <f t="shared" si="8"/>
        <v>315840.48</v>
      </c>
      <c r="AK40" s="167">
        <f t="shared" si="8"/>
        <v>5987125.1300000008</v>
      </c>
      <c r="AL40" s="167">
        <f t="shared" si="8"/>
        <v>2579707</v>
      </c>
      <c r="AM40" s="167">
        <f t="shared" si="8"/>
        <v>2920686.04</v>
      </c>
      <c r="AN40" s="167">
        <f t="shared" si="8"/>
        <v>346578</v>
      </c>
      <c r="AO40" s="167">
        <f t="shared" si="8"/>
        <v>8156122.1900000004</v>
      </c>
      <c r="AP40" s="167">
        <f t="shared" si="8"/>
        <v>1595593.85</v>
      </c>
      <c r="AQ40" s="167">
        <f t="shared" si="8"/>
        <v>1688898</v>
      </c>
      <c r="AR40" s="167">
        <f t="shared" si="8"/>
        <v>2945744.13</v>
      </c>
      <c r="AS40" s="167">
        <f t="shared" si="8"/>
        <v>1841642.43</v>
      </c>
      <c r="AT40" s="167">
        <f t="shared" si="8"/>
        <v>2526666.7199999997</v>
      </c>
      <c r="AU40" s="167">
        <f t="shared" si="8"/>
        <v>877486.6</v>
      </c>
      <c r="AV40" s="167">
        <f t="shared" si="8"/>
        <v>6794663.6600000001</v>
      </c>
      <c r="AW40" s="167">
        <f t="shared" si="8"/>
        <v>2530170.92</v>
      </c>
      <c r="AX40" s="167">
        <f t="shared" si="8"/>
        <v>399612.14999999997</v>
      </c>
      <c r="AY40" s="167">
        <f t="shared" si="8"/>
        <v>836285.66</v>
      </c>
      <c r="AZ40" s="167">
        <f t="shared" si="8"/>
        <v>4803978.1500000004</v>
      </c>
      <c r="BA40" s="167">
        <f t="shared" si="8"/>
        <v>843797.13</v>
      </c>
      <c r="BB40" s="167">
        <f t="shared" si="8"/>
        <v>3500325</v>
      </c>
      <c r="BC40" s="167">
        <f t="shared" si="8"/>
        <v>381506.60000000003</v>
      </c>
      <c r="BD40" s="167">
        <f t="shared" si="8"/>
        <v>23366589.789999999</v>
      </c>
      <c r="BE40" s="167">
        <f t="shared" si="8"/>
        <v>1534660.68</v>
      </c>
      <c r="BF40" s="13">
        <f t="shared" si="0"/>
        <v>108364062.52999999</v>
      </c>
      <c r="BG40" s="13">
        <f t="shared" si="1"/>
        <v>38230530.960000001</v>
      </c>
      <c r="BH40" s="13">
        <f t="shared" si="2"/>
        <v>76457839.830000013</v>
      </c>
      <c r="BK40" s="13"/>
    </row>
    <row r="41" spans="1:63" ht="15" thickBot="1" x14ac:dyDescent="0.25">
      <c r="B41" s="169"/>
      <c r="D41" s="13"/>
      <c r="BF41" s="13"/>
      <c r="BG41" s="13"/>
      <c r="BH41" s="13"/>
      <c r="BK41" s="13"/>
    </row>
    <row r="42" spans="1:63" ht="15.75" thickBot="1" x14ac:dyDescent="0.3">
      <c r="A42" s="7" t="s">
        <v>555</v>
      </c>
      <c r="B42" s="169"/>
      <c r="D42" s="168">
        <f>IF(D40&lt;&gt;0,D34/D40,"")*100</f>
        <v>-8.3284014092547889E-2</v>
      </c>
      <c r="E42" s="177">
        <f>IF(E40&lt;&gt;0,E34/E40,"")*100</f>
        <v>-3.0691712607065502E-2</v>
      </c>
      <c r="F42" s="167">
        <f t="shared" ref="F42:BH42" si="9">IF(F40&lt;&gt;0,F34/F40,"")*100</f>
        <v>18.52684261571547</v>
      </c>
      <c r="G42" s="167">
        <f t="shared" si="9"/>
        <v>-12.58268480306597</v>
      </c>
      <c r="H42" s="167">
        <f t="shared" si="9"/>
        <v>6.896900873150952</v>
      </c>
      <c r="I42" s="167">
        <f t="shared" si="9"/>
        <v>-0.53065433818483498</v>
      </c>
      <c r="J42" s="167">
        <f t="shared" si="9"/>
        <v>-7.881563381687097E-2</v>
      </c>
      <c r="K42" s="167">
        <f t="shared" si="9"/>
        <v>0.35183059619100315</v>
      </c>
      <c r="L42" s="167">
        <f t="shared" si="9"/>
        <v>1.0425414310839916</v>
      </c>
      <c r="M42" s="167">
        <f t="shared" si="9"/>
        <v>-9.5700410687607179E-2</v>
      </c>
      <c r="N42" s="167">
        <f t="shared" si="9"/>
        <v>-7.1580256987047148</v>
      </c>
      <c r="O42" s="167">
        <f t="shared" si="9"/>
        <v>0.24299554384908176</v>
      </c>
      <c r="P42" s="167">
        <f t="shared" si="9"/>
        <v>0.89521585009248261</v>
      </c>
      <c r="Q42" s="167">
        <f t="shared" si="9"/>
        <v>-1.0444596952281555</v>
      </c>
      <c r="R42" s="167">
        <f t="shared" si="9"/>
        <v>12.248394674906171</v>
      </c>
      <c r="S42" s="167">
        <f t="shared" si="9"/>
        <v>6.5709672576716631</v>
      </c>
      <c r="T42" s="167">
        <f t="shared" si="9"/>
        <v>-0.41965263386556095</v>
      </c>
      <c r="U42" s="167">
        <f t="shared" si="9"/>
        <v>1.0209443719198514</v>
      </c>
      <c r="V42" s="167">
        <f t="shared" si="9"/>
        <v>0.80912645024958352</v>
      </c>
      <c r="W42" s="167">
        <f t="shared" si="9"/>
        <v>-1.0028932668794555</v>
      </c>
      <c r="X42" s="167">
        <f t="shared" si="9"/>
        <v>6.7212474002043221</v>
      </c>
      <c r="Y42" s="167">
        <f t="shared" si="9"/>
        <v>0.88879981546158193</v>
      </c>
      <c r="Z42" s="167">
        <f t="shared" si="9"/>
        <v>-0.2416370128795601</v>
      </c>
      <c r="AA42" s="167">
        <f t="shared" si="9"/>
        <v>-5.0185166098340801</v>
      </c>
      <c r="AB42" s="167">
        <f t="shared" si="9"/>
        <v>-4.7868068375962514</v>
      </c>
      <c r="AC42" s="167">
        <f t="shared" si="9"/>
        <v>1.8725209581339952</v>
      </c>
      <c r="AD42" s="167">
        <f t="shared" si="9"/>
        <v>-2.801917172079718</v>
      </c>
      <c r="AE42" s="167">
        <f t="shared" si="9"/>
        <v>1.3169566536910902</v>
      </c>
      <c r="AF42" s="167">
        <f t="shared" si="9"/>
        <v>0.78704987343433985</v>
      </c>
      <c r="AG42" s="167">
        <f t="shared" si="9"/>
        <v>-1.016229861899397</v>
      </c>
      <c r="AH42" s="167">
        <f t="shared" si="9"/>
        <v>0.73005306201608366</v>
      </c>
      <c r="AI42" s="167">
        <f t="shared" si="9"/>
        <v>0</v>
      </c>
      <c r="AJ42" s="167">
        <f t="shared" si="9"/>
        <v>-56.561695321638325</v>
      </c>
      <c r="AK42" s="167">
        <f t="shared" si="9"/>
        <v>2.0867952028254999</v>
      </c>
      <c r="AL42" s="167">
        <f t="shared" si="9"/>
        <v>-1.5757603479775026</v>
      </c>
      <c r="AM42" s="167">
        <f t="shared" si="9"/>
        <v>1.2447147520176456</v>
      </c>
      <c r="AN42" s="167">
        <f t="shared" si="9"/>
        <v>1.7702364258550745</v>
      </c>
      <c r="AO42" s="167">
        <f t="shared" si="9"/>
        <v>-0.28568049199370787</v>
      </c>
      <c r="AP42" s="167">
        <f t="shared" si="9"/>
        <v>0.87685096053735778</v>
      </c>
      <c r="AQ42" s="167">
        <f t="shared" si="9"/>
        <v>0.76919979773793323</v>
      </c>
      <c r="AR42" s="167">
        <f t="shared" si="9"/>
        <v>-7.1627972657625234</v>
      </c>
      <c r="AS42" s="167">
        <f t="shared" si="9"/>
        <v>0.87699543282134285</v>
      </c>
      <c r="AT42" s="167">
        <f t="shared" si="9"/>
        <v>1.9551343914483506</v>
      </c>
      <c r="AU42" s="167">
        <f t="shared" si="9"/>
        <v>-2.1164015496077089</v>
      </c>
      <c r="AV42" s="167">
        <f t="shared" si="9"/>
        <v>1.6706922620508342</v>
      </c>
      <c r="AW42" s="167">
        <f t="shared" si="9"/>
        <v>0.91209529828917657</v>
      </c>
      <c r="AX42" s="167">
        <f t="shared" si="9"/>
        <v>-1.8467106167817973</v>
      </c>
      <c r="AY42" s="167">
        <f t="shared" si="9"/>
        <v>-4.2431529915268431</v>
      </c>
      <c r="AZ42" s="167">
        <f t="shared" si="9"/>
        <v>3.1907364108223515</v>
      </c>
      <c r="BA42" s="167">
        <f t="shared" si="9"/>
        <v>-2.519050995113008</v>
      </c>
      <c r="BB42" s="167">
        <f t="shared" si="9"/>
        <v>-1.7561512145300793</v>
      </c>
      <c r="BC42" s="167">
        <f t="shared" si="9"/>
        <v>-12.424668406785099</v>
      </c>
      <c r="BD42" s="167">
        <f t="shared" si="9"/>
        <v>-2.6413132406001809</v>
      </c>
      <c r="BE42" s="167">
        <f t="shared" si="9"/>
        <v>-2.2720794540718932</v>
      </c>
      <c r="BF42" s="167">
        <f t="shared" si="9"/>
        <v>0.4772722597556901</v>
      </c>
      <c r="BG42" s="167">
        <f t="shared" si="9"/>
        <v>-0.35111400922065561</v>
      </c>
      <c r="BH42" s="167">
        <f t="shared" si="9"/>
        <v>-0.74384246437583368</v>
      </c>
      <c r="BK42" s="13"/>
    </row>
    <row r="43" spans="1:63" x14ac:dyDescent="0.2">
      <c r="A43" s="173" t="s">
        <v>556</v>
      </c>
      <c r="B43" s="169"/>
      <c r="D43" s="13"/>
      <c r="BK43" s="13"/>
    </row>
  </sheetData>
  <mergeCells count="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BD45" sqref="BD45"/>
      <selection pane="topRight" activeCell="BD45" sqref="BD45"/>
      <selection pane="bottomLeft" activeCell="BD45" sqref="BD45"/>
      <selection pane="bottomRight" activeCell="BD45" sqref="BD45"/>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19" t="s">
        <v>491</v>
      </c>
      <c r="B2" s="219"/>
      <c r="C2" s="219"/>
      <c r="D2" s="219"/>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d''auto.'!D16</f>
        <v>206128108.77000001</v>
      </c>
      <c r="E10" s="13">
        <f>'Endett. net + degré d''auto.'!E16</f>
        <v>2350164.27</v>
      </c>
      <c r="F10" s="13">
        <f>'Endett. net + degré d''auto.'!F16</f>
        <v>526347.10000000009</v>
      </c>
      <c r="G10" s="13">
        <f>'Endett. net + degré d''auto.'!G16</f>
        <v>1195618.58</v>
      </c>
      <c r="H10" s="13">
        <f>'Endett. net + degré d''auto.'!H16</f>
        <v>1072019.51</v>
      </c>
      <c r="I10" s="13">
        <f>'Endett. net + degré d''auto.'!I16</f>
        <v>9433081</v>
      </c>
      <c r="J10" s="13">
        <f>'Endett. net + degré d''auto.'!J16</f>
        <v>8125024.1800000006</v>
      </c>
      <c r="K10" s="13">
        <f>'Endett. net + degré d''auto.'!K16</f>
        <v>7455059.2800000003</v>
      </c>
      <c r="L10" s="13">
        <f>'Endett. net + degré d''auto.'!L16</f>
        <v>33795565.890000001</v>
      </c>
      <c r="M10" s="13">
        <f>'Endett. net + degré d''auto.'!M16</f>
        <v>3255552.3099999996</v>
      </c>
      <c r="N10" s="13">
        <f>'Endett. net + degré d''auto.'!N16</f>
        <v>329060.76</v>
      </c>
      <c r="O10" s="13">
        <f>'Endett. net + degré d''auto.'!O16</f>
        <v>18784765.050000001</v>
      </c>
      <c r="P10" s="13">
        <f>'Endett. net + degré d''auto.'!P16</f>
        <v>1321429.99</v>
      </c>
      <c r="Q10" s="13">
        <f>'Endett. net + degré d''auto.'!Q16</f>
        <v>276927.78000000003</v>
      </c>
      <c r="R10" s="13">
        <f>'Endett. net + degré d''auto.'!R16</f>
        <v>1142074.5499999998</v>
      </c>
      <c r="S10" s="13">
        <f>'Endett. net + degré d''auto.'!S16</f>
        <v>866558.8600000001</v>
      </c>
      <c r="T10" s="13">
        <f>'Endett. net + degré d''auto.'!T16</f>
        <v>2042900.9000000001</v>
      </c>
      <c r="U10" s="13">
        <f>'Endett. net + degré d''auto.'!U16</f>
        <v>562770.30000000005</v>
      </c>
      <c r="V10" s="13">
        <f>'Endett. net + degré d''auto.'!V16</f>
        <v>1320110.0900000001</v>
      </c>
      <c r="W10" s="13">
        <f>'Endett. net + degré d''auto.'!W16</f>
        <v>8285118.0599999996</v>
      </c>
      <c r="X10" s="13">
        <f>'Endett. net + degré d''auto.'!X16</f>
        <v>786372.95</v>
      </c>
      <c r="Y10" s="13">
        <f>'Endett. net + degré d''auto.'!Y16</f>
        <v>4479873.3</v>
      </c>
      <c r="Z10" s="13">
        <f>'Endett. net + degré d''auto.'!Z16</f>
        <v>9983106.3399999999</v>
      </c>
      <c r="AA10" s="13">
        <f>'Endett. net + degré d''auto.'!AA16</f>
        <v>207584.65000000002</v>
      </c>
      <c r="AB10" s="13">
        <f>'Endett. net + degré d''auto.'!AB16</f>
        <v>369075.29000000004</v>
      </c>
      <c r="AC10" s="13">
        <f>'Endett. net + degré d''auto.'!AC16</f>
        <v>1429264.5</v>
      </c>
      <c r="AD10" s="13">
        <f>'Endett. net + degré d''auto.'!AD16</f>
        <v>1914233.9700000002</v>
      </c>
      <c r="AE10" s="13">
        <f>'Endett. net + degré d''auto.'!AE16</f>
        <v>1435867.03</v>
      </c>
      <c r="AF10" s="13">
        <f>'Endett. net + degré d''auto.'!AF16</f>
        <v>1275287.5</v>
      </c>
      <c r="AG10" s="13">
        <f>'Endett. net + degré d''auto.'!AG16</f>
        <v>5691965.2699999996</v>
      </c>
      <c r="AH10" s="13">
        <f>'Endett. net + degré d''auto.'!AH16</f>
        <v>7064739.3500000006</v>
      </c>
      <c r="AI10" s="13">
        <f>'Endett. net + degré d''auto.'!AI16</f>
        <v>595512</v>
      </c>
      <c r="AJ10" s="13">
        <f>'Endett. net + degré d''auto.'!AJ16</f>
        <v>331110.83</v>
      </c>
      <c r="AK10" s="13">
        <f>'Endett. net + degré d''auto.'!AK16</f>
        <v>5550455.5700000003</v>
      </c>
      <c r="AL10" s="13">
        <f>'Endett. net + degré d''auto.'!AL16</f>
        <v>2669699</v>
      </c>
      <c r="AM10" s="13">
        <f>'Endett. net + degré d''auto.'!AM16</f>
        <v>3009524.29</v>
      </c>
      <c r="AN10" s="13">
        <f>'Endett. net + degré d''auto.'!AN16</f>
        <v>330814</v>
      </c>
      <c r="AO10" s="13">
        <f>'Endett. net + degré d''auto.'!AO16</f>
        <v>6227633.4400000004</v>
      </c>
      <c r="AP10" s="13">
        <f>'Endett. net + degré d''auto.'!AP16</f>
        <v>1406859.05</v>
      </c>
      <c r="AQ10" s="13">
        <f>'Endett. net + degré d''auto.'!AQ16</f>
        <v>1564320</v>
      </c>
      <c r="AR10" s="13">
        <f>'Endett. net + degré d''auto.'!AR16</f>
        <v>2691704.9499999997</v>
      </c>
      <c r="AS10" s="13">
        <f>'Endett. net + degré d''auto.'!AS16</f>
        <v>1917150.3299999998</v>
      </c>
      <c r="AT10" s="13">
        <f>'Endett. net + degré d''auto.'!AT16</f>
        <v>2585608.5699999998</v>
      </c>
      <c r="AU10" s="13">
        <f>'Endett. net + degré d''auto.'!AU16</f>
        <v>447660.6</v>
      </c>
      <c r="AV10" s="13">
        <f>'Endett. net + degré d''auto.'!AV16</f>
        <v>6145524.71</v>
      </c>
      <c r="AW10" s="13">
        <f>'Endett. net + degré d''auto.'!AW16</f>
        <v>2256264.87</v>
      </c>
      <c r="AX10" s="13">
        <f>'Endett. net + degré d''auto.'!AX16</f>
        <v>396728.14999999997</v>
      </c>
      <c r="AY10" s="13">
        <f>'Endett. net + degré d''auto.'!AY16</f>
        <v>827536.70000000007</v>
      </c>
      <c r="AZ10" s="13">
        <f>'Endett. net + degré d''auto.'!AZ16</f>
        <v>4378410.4000000004</v>
      </c>
      <c r="BA10" s="13">
        <f>'Endett. net + degré d''auto.'!BA16</f>
        <v>857136.13</v>
      </c>
      <c r="BB10" s="13">
        <f>'Endett. net + degré d''auto.'!BB16</f>
        <v>3003801</v>
      </c>
      <c r="BC10" s="13">
        <f>'Endett. net + degré d''auto.'!BC16</f>
        <v>450541.55000000005</v>
      </c>
      <c r="BD10" s="13">
        <f>'Endett. net + degré d''auto.'!BD16</f>
        <v>20169327.080000002</v>
      </c>
      <c r="BE10" s="13">
        <f>'Endett. net + degré d''auto.'!BE16</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BD45" sqref="BD45"/>
      <selection pane="topRight" activeCell="BD45" sqref="BD45"/>
      <selection pane="bottomLeft" activeCell="BD45" sqref="BD45"/>
      <selection pane="bottomRight" activeCell="BD45" sqref="BD45"/>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728</v>
      </c>
    </row>
    <row r="3" spans="1:60" ht="15" x14ac:dyDescent="0.25">
      <c r="A3" s="7"/>
    </row>
    <row r="4" spans="1:60" ht="15" x14ac:dyDescent="0.25">
      <c r="A4" s="7" t="s">
        <v>831</v>
      </c>
    </row>
    <row r="6" spans="1:60" ht="18" x14ac:dyDescent="0.25">
      <c r="A6" s="219" t="s">
        <v>491</v>
      </c>
      <c r="B6" s="219"/>
      <c r="C6" s="219"/>
      <c r="D6" s="219"/>
    </row>
    <row r="7" spans="1:60" ht="15" thickBot="1" x14ac:dyDescent="0.25"/>
    <row r="8" spans="1:60" ht="15.75" thickBot="1" x14ac:dyDescent="0.3">
      <c r="A8" s="220" t="s">
        <v>562</v>
      </c>
      <c r="B8" s="221"/>
      <c r="C8" s="221"/>
      <c r="D8" s="222"/>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det'!D30</f>
        <v>613230091.44000006</v>
      </c>
      <c r="E13" s="19">
        <f>'Quotité d''intéret + revenus det'!E30</f>
        <v>10231693.5</v>
      </c>
      <c r="F13" s="19">
        <f>'Quotité d''intéret + revenus det'!F30</f>
        <v>2396649.5500000003</v>
      </c>
      <c r="G13" s="19">
        <f>'Quotité d''intéret + revenus det'!G30</f>
        <v>5213780.8499999996</v>
      </c>
      <c r="H13" s="19">
        <f>'Quotité d''intéret + revenus det'!H30</f>
        <v>4171946.5700000003</v>
      </c>
      <c r="I13" s="19">
        <f>'Quotité d''intéret + revenus det'!I30</f>
        <v>26026874</v>
      </c>
      <c r="J13" s="19">
        <f>'Quotité d''intéret + revenus det'!J30</f>
        <v>23189435.620000001</v>
      </c>
      <c r="K13" s="19">
        <f>'Quotité d''intéret + revenus det'!K30</f>
        <v>10340912.189999999</v>
      </c>
      <c r="L13" s="19">
        <f>'Quotité d''intéret + revenus det'!L30</f>
        <v>166457137.63999999</v>
      </c>
      <c r="M13" s="19">
        <f>'Quotité d''intéret + revenus det'!M30</f>
        <v>7684406.9900000002</v>
      </c>
      <c r="N13" s="19">
        <f>'Quotité d''intéret + revenus det'!N30</f>
        <v>962560.33000000007</v>
      </c>
      <c r="O13" s="19">
        <f>'Quotité d''intéret + revenus det'!O30</f>
        <v>45615798.689999998</v>
      </c>
      <c r="P13" s="19">
        <f>'Quotité d''intéret + revenus det'!P30</f>
        <v>2811349.0100000002</v>
      </c>
      <c r="Q13" s="19">
        <f>'Quotité d''intéret + revenus det'!Q30</f>
        <v>472998.96</v>
      </c>
      <c r="R13" s="19">
        <f>'Quotité d''intéret + revenus det'!R30</f>
        <v>3177943.3000000003</v>
      </c>
      <c r="S13" s="19">
        <f>'Quotité d''intéret + revenus det'!S30</f>
        <v>4143084.9</v>
      </c>
      <c r="T13" s="19">
        <f>'Quotité d''intéret + revenus det'!T30</f>
        <v>5163639.42</v>
      </c>
      <c r="U13" s="19">
        <f>'Quotité d''intéret + revenus det'!U30</f>
        <v>1238569.5</v>
      </c>
      <c r="V13" s="19">
        <f>'Quotité d''intéret + revenus det'!V30</f>
        <v>3504832.67</v>
      </c>
      <c r="W13" s="19">
        <f>'Quotité d''intéret + revenus det'!W30</f>
        <v>15800389.75</v>
      </c>
      <c r="X13" s="19">
        <f>'Quotité d''intéret + revenus det'!X30</f>
        <v>484046.2</v>
      </c>
      <c r="Y13" s="19">
        <f>'Quotité d''intéret + revenus det'!Y30</f>
        <v>9591959.379999999</v>
      </c>
      <c r="Z13" s="19">
        <f>'Quotité d''intéret + revenus det'!Z30</f>
        <v>4910683.17</v>
      </c>
      <c r="AA13" s="19">
        <f>'Quotité d''intéret + revenus det'!AA30</f>
        <v>1134572.45</v>
      </c>
      <c r="AB13" s="19">
        <f>'Quotité d''intéret + revenus det'!AB30</f>
        <v>1304927.81</v>
      </c>
      <c r="AC13" s="19">
        <f>'Quotité d''intéret + revenus det'!AC30</f>
        <v>4608813.3499999996</v>
      </c>
      <c r="AD13" s="19">
        <f>'Quotité d''intéret + revenus det'!AD30</f>
        <v>7610270.8499999996</v>
      </c>
      <c r="AE13" s="19">
        <f>'Quotité d''intéret + revenus det'!AE30</f>
        <v>3693005.05</v>
      </c>
      <c r="AF13" s="19">
        <f>'Quotité d''intéret + revenus det'!AF30</f>
        <v>972078.66999999993</v>
      </c>
      <c r="AG13" s="19">
        <f>'Quotité d''intéret + revenus det'!AG30</f>
        <v>5453381.3700000001</v>
      </c>
      <c r="AH13" s="19">
        <f>'Quotité d''intéret + revenus det'!AH30</f>
        <v>16154715.800000001</v>
      </c>
      <c r="AI13" s="19">
        <f>'Quotité d''intéret + revenus det'!AI30</f>
        <v>1609646</v>
      </c>
      <c r="AJ13" s="19">
        <f>'Quotité d''intéret + revenus det'!AJ30</f>
        <v>863363.16</v>
      </c>
      <c r="AK13" s="19">
        <f>'Quotité d''intéret + revenus det'!AK30</f>
        <v>17609687.100000001</v>
      </c>
      <c r="AL13" s="19">
        <f>'Quotité d''intéret + revenus det'!AL30</f>
        <v>9727418.6000000015</v>
      </c>
      <c r="AM13" s="19">
        <f>'Quotité d''intéret + revenus det'!AM30</f>
        <v>11587493.5</v>
      </c>
      <c r="AN13" s="19">
        <f>'Quotité d''intéret + revenus det'!AN30</f>
        <v>1403451.52</v>
      </c>
      <c r="AO13" s="19">
        <f>'Quotité d''intéret + revenus det'!AO30</f>
        <v>8994469.7599999998</v>
      </c>
      <c r="AP13" s="19">
        <f>'Quotité d''intéret + revenus det'!AP30</f>
        <v>5282352.57</v>
      </c>
      <c r="AQ13" s="19">
        <f>'Quotité d''intéret + revenus det'!AQ30</f>
        <v>4714241</v>
      </c>
      <c r="AR13" s="19">
        <f>'Quotité d''intéret + revenus det'!AR30</f>
        <v>10428523.609999999</v>
      </c>
      <c r="AS13" s="19">
        <f>'Quotité d''intéret + revenus det'!AS30</f>
        <v>5676255.4600000009</v>
      </c>
      <c r="AT13" s="19">
        <f>'Quotité d''intéret + revenus det'!AT30</f>
        <v>9570422.3900000006</v>
      </c>
      <c r="AU13" s="19">
        <f>'Quotité d''intéret + revenus det'!AU30</f>
        <v>1892477.35</v>
      </c>
      <c r="AV13" s="19">
        <f>'Quotité d''intéret + revenus det'!AV30</f>
        <v>13471968.370000001</v>
      </c>
      <c r="AW13" s="19">
        <f>'Quotité d''intéret + revenus det'!AW30</f>
        <v>6026726</v>
      </c>
      <c r="AX13" s="19">
        <f>'Quotité d''intéret + revenus det'!AX30</f>
        <v>691813</v>
      </c>
      <c r="AY13" s="19">
        <f>'Quotité d''intéret + revenus det'!AY30</f>
        <v>2001322.59</v>
      </c>
      <c r="AZ13" s="19">
        <f>'Quotité d''intéret + revenus det'!AZ30</f>
        <v>19520581.41</v>
      </c>
      <c r="BA13" s="19">
        <f>'Quotité d''intéret + revenus det'!BA30</f>
        <v>3023471.06</v>
      </c>
      <c r="BB13" s="19">
        <f>'Quotité d''intéret + revenus det'!BB30</f>
        <v>10935066</v>
      </c>
      <c r="BC13" s="19">
        <f>'Quotité d''intéret + revenus det'!BC30</f>
        <v>142500</v>
      </c>
      <c r="BD13" s="19">
        <f>'Quotité d''intéret + revenus det'!BD30</f>
        <v>69546558.280000001</v>
      </c>
      <c r="BE13" s="19">
        <f>'Quotité d''intéret + revenus det'!BE30</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d''auto.'!D9</f>
        <v>300302277.88999999</v>
      </c>
      <c r="E15" s="19">
        <f>'Endett. net + degré d''auto.'!E9</f>
        <v>4350117.6100000003</v>
      </c>
      <c r="F15" s="19">
        <f>'Endett. net + degré d''auto.'!F9</f>
        <v>1350274.5500000003</v>
      </c>
      <c r="G15" s="19">
        <f>'Endett. net + degré d''auto.'!G9</f>
        <v>2310199.3900000006</v>
      </c>
      <c r="H15" s="19">
        <f>'Endett. net + degré d''auto.'!H9</f>
        <v>29580.799999999814</v>
      </c>
      <c r="I15" s="19">
        <f>'Endett. net + degré d''auto.'!I9</f>
        <v>10596402</v>
      </c>
      <c r="J15" s="19">
        <f>'Endett. net + degré d''auto.'!J9</f>
        <v>16567735.970000003</v>
      </c>
      <c r="K15" s="19">
        <f>'Endett. net + degré d''auto.'!K9</f>
        <v>-429317.41000000015</v>
      </c>
      <c r="L15" s="19">
        <f>'Endett. net + degré d''auto.'!L9</f>
        <v>103469664.55000001</v>
      </c>
      <c r="M15" s="19">
        <f>'Endett. net + degré d''auto.'!M9</f>
        <v>4117624.07</v>
      </c>
      <c r="N15" s="19">
        <f>'Endett. net + degré d''auto.'!N9</f>
        <v>779330.56999999983</v>
      </c>
      <c r="O15" s="19">
        <f>'Endett. net + degré d''auto.'!O9</f>
        <v>29090469.220000003</v>
      </c>
      <c r="P15" s="19">
        <f>'Endett. net + degré d''auto.'!P9</f>
        <v>1290983.73</v>
      </c>
      <c r="Q15" s="19">
        <f>'Endett. net + degré d''auto.'!Q9</f>
        <v>-17354.150000000081</v>
      </c>
      <c r="R15" s="19">
        <f>'Endett. net + degré d''auto.'!R9</f>
        <v>1642738.42</v>
      </c>
      <c r="S15" s="19">
        <f>'Endett. net + degré d''auto.'!S9</f>
        <v>1514124.1099999999</v>
      </c>
      <c r="T15" s="19">
        <f>'Endett. net + degré d''auto.'!T9</f>
        <v>-451715.3599999994</v>
      </c>
      <c r="U15" s="19">
        <f>'Endett. net + degré d''auto.'!U9</f>
        <v>448146.76</v>
      </c>
      <c r="V15" s="19">
        <f>'Endett. net + degré d''auto.'!V9</f>
        <v>1914576.7700000003</v>
      </c>
      <c r="W15" s="19">
        <f>'Endett. net + degré d''auto.'!W9</f>
        <v>11431295.439999999</v>
      </c>
      <c r="X15" s="19">
        <f>'Endett. net + degré d''auto.'!X9</f>
        <v>-1095128.52</v>
      </c>
      <c r="Y15" s="19">
        <f>'Endett. net + degré d''auto.'!Y9</f>
        <v>5704163.3600000003</v>
      </c>
      <c r="Z15" s="19">
        <f>'Endett. net + degré d''auto.'!Z9</f>
        <v>-13726562.160000002</v>
      </c>
      <c r="AA15" s="19">
        <f>'Endett. net + degré d''auto.'!AA9</f>
        <v>89722.54999999993</v>
      </c>
      <c r="AB15" s="19">
        <f>'Endett. net + degré d''auto.'!AB9</f>
        <v>-211024.80999999982</v>
      </c>
      <c r="AC15" s="19">
        <f>'Endett. net + degré d''auto.'!AC9</f>
        <v>1427041.88</v>
      </c>
      <c r="AD15" s="19">
        <f>'Endett. net + degré d''auto.'!AD9</f>
        <v>5732641.0899999999</v>
      </c>
      <c r="AE15" s="19">
        <f>'Endett. net + degré d''auto.'!AE9</f>
        <v>2011074.1099999999</v>
      </c>
      <c r="AF15" s="19">
        <f>'Endett. net + degré d''auto.'!AF9</f>
        <v>-2267097.36</v>
      </c>
      <c r="AG15" s="19">
        <f>'Endett. net + degré d''auto.'!AG9</f>
        <v>-2397710.830000001</v>
      </c>
      <c r="AH15" s="19">
        <f>'Endett. net + degré d''auto.'!AH9</f>
        <v>7074721.7599999998</v>
      </c>
      <c r="AI15" s="19">
        <f>'Endett. net + degré d''auto.'!AI9</f>
        <v>-234773.05000000005</v>
      </c>
      <c r="AJ15" s="19">
        <f>'Endett. net + degré d''auto.'!AJ9</f>
        <v>-1178728.1100000001</v>
      </c>
      <c r="AK15" s="19">
        <f>'Endett. net + degré d''auto.'!AK9</f>
        <v>11642148.41</v>
      </c>
      <c r="AL15" s="19">
        <f>'Endett. net + degré d''auto.'!AL9</f>
        <v>3685340.0500000007</v>
      </c>
      <c r="AM15" s="19">
        <f>'Endett. net + degré d''auto.'!AM9</f>
        <v>6512358.3300000001</v>
      </c>
      <c r="AN15" s="19">
        <f>'Endett. net + degré d''auto.'!AN9</f>
        <v>881755.3600000001</v>
      </c>
      <c r="AO15" s="19">
        <f>'Endett. net + degré d''auto.'!AO9</f>
        <v>-5341469.129999999</v>
      </c>
      <c r="AP15" s="19">
        <f>'Endett. net + degré d''auto.'!AP9</f>
        <v>1986975.6799999997</v>
      </c>
      <c r="AQ15" s="19">
        <f>'Endett. net + degré d''auto.'!AQ9</f>
        <v>2313638</v>
      </c>
      <c r="AR15" s="19">
        <f>'Endett. net + degré d''auto.'!AR9</f>
        <v>474934.75</v>
      </c>
      <c r="AS15" s="19">
        <f>'Endett. net + degré d''auto.'!AS9</f>
        <v>3086864.3400000003</v>
      </c>
      <c r="AT15" s="19">
        <f>'Endett. net + degré d''auto.'!AT9</f>
        <v>5842658.7400000002</v>
      </c>
      <c r="AU15" s="19">
        <f>'Endett. net + degré d''auto.'!AU9</f>
        <v>-735043.0700000003</v>
      </c>
      <c r="AV15" s="19">
        <f>'Endett. net + degré d''auto.'!AV9</f>
        <v>8692321.1499999985</v>
      </c>
      <c r="AW15" s="19">
        <f>'Endett. net + degré d''auto.'!AW9</f>
        <v>2759687.7100000004</v>
      </c>
      <c r="AX15" s="19">
        <f>'Endett. net + degré d''auto.'!AX9</f>
        <v>197541</v>
      </c>
      <c r="AY15" s="19">
        <f>'Endett. net + degré d''auto.'!AY9</f>
        <v>-156279.87000000011</v>
      </c>
      <c r="AZ15" s="19">
        <f>'Endett. net + degré d''auto.'!AZ9</f>
        <v>15130371.18</v>
      </c>
      <c r="BA15" s="19">
        <f>'Endett. net + degré d''auto.'!BA9</f>
        <v>51593.350000000093</v>
      </c>
      <c r="BB15" s="19">
        <f>'Endett. net + degré d''auto.'!BB9</f>
        <v>5751415</v>
      </c>
      <c r="BC15" s="19">
        <f>'Endett. net + degré d''auto.'!BC9</f>
        <v>-341679.30999999994</v>
      </c>
      <c r="BD15" s="19">
        <f>'Endett. net + degré d''auto.'!BD9</f>
        <v>45122415.25</v>
      </c>
      <c r="BE15" s="19">
        <f>'Endett. net + degré d''auto.'!BE9</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d''auto.'!D18</f>
        <v>145.68720378892164</v>
      </c>
      <c r="E17" s="19">
        <f>'Endett. net + degré d''auto.'!E18</f>
        <v>185.09844888417101</v>
      </c>
      <c r="F17" s="19">
        <f>'Endett. net + degré d''auto.'!F18</f>
        <v>256.53690311963345</v>
      </c>
      <c r="G17" s="19">
        <f>'Endett. net + degré d''auto.'!G18</f>
        <v>193.22210516333735</v>
      </c>
      <c r="H17" s="19">
        <f>'Endett. net + degré d''auto.'!H18</f>
        <v>2.7593527658838797</v>
      </c>
      <c r="I17" s="19">
        <f>'Endett. net + degré d''auto.'!I18</f>
        <v>112.33235461457396</v>
      </c>
      <c r="J17" s="19">
        <f>'Endett. net + degré d''auto.'!J18</f>
        <v>203.9099897177168</v>
      </c>
      <c r="K17" s="19">
        <f>'Endett. net + degré d''auto.'!K18</f>
        <v>-5.7587390505632596</v>
      </c>
      <c r="L17" s="19">
        <f>'Endett. net + degré d''auto.'!L18</f>
        <v>306.1634324656074</v>
      </c>
      <c r="M17" s="19">
        <f>'Endett. net + degré d''auto.'!M18</f>
        <v>126.48004633044894</v>
      </c>
      <c r="N17" s="19">
        <f>'Endett. net + degré d''auto.'!N18</f>
        <v>236.83485384279783</v>
      </c>
      <c r="O17" s="19">
        <f>'Endett. net + degré d''auto.'!O18</f>
        <v>154.86203390124382</v>
      </c>
      <c r="P17" s="19">
        <f>'Endett. net + degré d''auto.'!P18</f>
        <v>97.695961176119511</v>
      </c>
      <c r="Q17" s="19">
        <f>'Endett. net + degré d''auto.'!Q18</f>
        <v>-6.2666699599440978</v>
      </c>
      <c r="R17" s="19">
        <f>'Endett. net + degré d''auto.'!R18</f>
        <v>143.83810759113757</v>
      </c>
      <c r="S17" s="19">
        <f>'Endett. net + degré d''auto.'!S18</f>
        <v>174.72836294120859</v>
      </c>
      <c r="T17" s="19">
        <f>'Endett. net + degré d''auto.'!T18</f>
        <v>-22.111467080953336</v>
      </c>
      <c r="U17" s="19">
        <f>'Endett. net + degré d''auto.'!U18</f>
        <v>79.632269151374899</v>
      </c>
      <c r="V17" s="19">
        <f>'Endett. net + degré d''auto.'!V18</f>
        <v>145.03159884188145</v>
      </c>
      <c r="W17" s="19">
        <f>'Endett. net + degré d''auto.'!W18</f>
        <v>137.97383884231579</v>
      </c>
      <c r="X17" s="19">
        <f>'Endett. net + degré d''auto.'!X18</f>
        <v>-139.26324907284771</v>
      </c>
      <c r="Y17" s="19">
        <f>'Endett. net + degré d''auto.'!Y18</f>
        <v>127.32867601411854</v>
      </c>
      <c r="Z17" s="19">
        <f>'Endett. net + degré d''auto.'!Z18</f>
        <v>-137.4979058872772</v>
      </c>
      <c r="AA17" s="19">
        <f>'Endett. net + degré d''auto.'!AA18</f>
        <v>43.222150578089433</v>
      </c>
      <c r="AB17" s="19">
        <f>'Endett. net + degré d''auto.'!AB18</f>
        <v>-57.176629191295845</v>
      </c>
      <c r="AC17" s="19">
        <f>'Endett. net + degré d''auto.'!AC18</f>
        <v>99.844492044684515</v>
      </c>
      <c r="AD17" s="19">
        <f>'Endett. net + degré d''auto.'!AD18</f>
        <v>299.4744205693936</v>
      </c>
      <c r="AE17" s="19">
        <f>'Endett. net + degré d''auto.'!AE18</f>
        <v>140.05991279011397</v>
      </c>
      <c r="AF17" s="19">
        <f>'Endett. net + degré d''auto.'!AF18</f>
        <v>-177.77147192299773</v>
      </c>
      <c r="AG17" s="19">
        <f>'Endett. net + degré d''auto.'!AG18</f>
        <v>-42.124481023054472</v>
      </c>
      <c r="AH17" s="19">
        <f>'Endett. net + degré d''auto.'!AH18</f>
        <v>100.14129905585263</v>
      </c>
      <c r="AI17" s="19">
        <f>'Endett. net + degré d''auto.'!AI18</f>
        <v>-39.423731175862123</v>
      </c>
      <c r="AJ17" s="19">
        <f>'Endett. net + degré d''auto.'!AJ18</f>
        <v>-355.9920133086556</v>
      </c>
      <c r="AK17" s="19">
        <f>'Endett. net + degré d''auto.'!AK18</f>
        <v>209.75122245686219</v>
      </c>
      <c r="AL17" s="19">
        <f>'Endett. net + degré d''auto.'!AL18</f>
        <v>138.04327941089991</v>
      </c>
      <c r="AM17" s="19">
        <f>'Endett. net + degré d''auto.'!AM18</f>
        <v>216.39161882292032</v>
      </c>
      <c r="AN17" s="19">
        <f>'Endett. net + degré d''auto.'!AN18</f>
        <v>266.54112582901575</v>
      </c>
      <c r="AO17" s="19">
        <f>'Endett. net + degré d''auto.'!AO18</f>
        <v>-85.770448461077038</v>
      </c>
      <c r="AP17" s="19">
        <f>'Endett. net + degré d''auto.'!AP18</f>
        <v>141.23487921551202</v>
      </c>
      <c r="AQ17" s="19">
        <f>'Endett. net + degré d''auto.'!AQ18</f>
        <v>147.90055743070471</v>
      </c>
      <c r="AR17" s="19">
        <f>'Endett. net + degré d''auto.'!AR18</f>
        <v>17.644383720437119</v>
      </c>
      <c r="AS17" s="19">
        <f>'Endett. net + degré d''auto.'!AS18</f>
        <v>161.01316061114522</v>
      </c>
      <c r="AT17" s="19">
        <f>'Endett. net + degré d''auto.'!AT18</f>
        <v>225.96841640264213</v>
      </c>
      <c r="AU17" s="19">
        <f>'Endett. net + degré d''auto.'!AU18</f>
        <v>-164.1965073540089</v>
      </c>
      <c r="AV17" s="19">
        <f>'Endett. net + degré d''auto.'!AV18</f>
        <v>141.44148075518842</v>
      </c>
      <c r="AW17" s="19">
        <f>'Endett. net + degré d''auto.'!AW18</f>
        <v>122.31222258936295</v>
      </c>
      <c r="AX17" s="19">
        <f>'Endett. net + degré d''auto.'!AX18</f>
        <v>49.792534258030344</v>
      </c>
      <c r="AY17" s="19">
        <f>'Endett. net + degré d''auto.'!AY18</f>
        <v>-18.884947338287244</v>
      </c>
      <c r="AZ17" s="19">
        <f>'Endett. net + degré d''auto.'!AZ18</f>
        <v>345.56767862601453</v>
      </c>
      <c r="BA17" s="19">
        <f>'Endett. net + degré d''auto.'!BA18</f>
        <v>6.0192714079151104</v>
      </c>
      <c r="BB17" s="19">
        <f>'Endett. net + degré d''auto.'!BB18</f>
        <v>191.47123927317423</v>
      </c>
      <c r="BC17" s="19">
        <f>'Endett. net + degré d''auto.'!BC18</f>
        <v>-75.837469374356232</v>
      </c>
      <c r="BD17" s="19">
        <f>'Endett. net + degré d''auto.'!BD18</f>
        <v>223.7180004619172</v>
      </c>
      <c r="BE17" s="19">
        <f>'Endett. net + degré d''auto.'!BE18</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d''auto.'!D35</f>
        <v>30452873.009999998</v>
      </c>
      <c r="E22" s="19">
        <f>'Endett. net + degré d''auto.'!E35</f>
        <v>79219.329999999973</v>
      </c>
      <c r="F22" s="19">
        <f>'Endett. net + degré d''auto.'!F35</f>
        <v>-125472.41999999998</v>
      </c>
      <c r="G22" s="19">
        <f>'Endett. net + degré d''auto.'!G35</f>
        <v>360193.97000000003</v>
      </c>
      <c r="H22" s="19">
        <f>'Endett. net + degré d''auto.'!H35</f>
        <v>38274.29</v>
      </c>
      <c r="I22" s="19">
        <f>'Endett. net + degré d''auto.'!I35</f>
        <v>1324905.95</v>
      </c>
      <c r="J22" s="19">
        <f>'Endett. net + degré d''auto.'!J35</f>
        <v>1125365.67</v>
      </c>
      <c r="K22" s="19">
        <f>'Endett. net + degré d''auto.'!K35</f>
        <v>1180036.82</v>
      </c>
      <c r="L22" s="19">
        <f>'Endett. net + degré d''auto.'!L35</f>
        <v>2391598.3299999996</v>
      </c>
      <c r="M22" s="19">
        <f>'Endett. net + degré d''auto.'!M35</f>
        <v>-98287.840000000026</v>
      </c>
      <c r="N22" s="19">
        <f>'Endett. net + degré d''auto.'!N35</f>
        <v>74900.3</v>
      </c>
      <c r="O22" s="19">
        <f>'Endett. net + degré d''auto.'!O35</f>
        <v>2800717.16</v>
      </c>
      <c r="P22" s="19">
        <f>'Endett. net + degré d''auto.'!P35</f>
        <v>6750.0799999999981</v>
      </c>
      <c r="Q22" s="19">
        <f>'Endett. net + degré d''auto.'!Q35</f>
        <v>39958.61</v>
      </c>
      <c r="R22" s="19">
        <f>'Endett. net + degré d''auto.'!R35</f>
        <v>53775.94</v>
      </c>
      <c r="S22" s="19">
        <f>'Endett. net + degré d''auto.'!S35</f>
        <v>2693.3199999999779</v>
      </c>
      <c r="T22" s="19">
        <f>'Endett. net + degré d''auto.'!T35</f>
        <v>336712.27999999997</v>
      </c>
      <c r="U22" s="19">
        <f>'Endett. net + degré d''auto.'!U35</f>
        <v>-44233.19</v>
      </c>
      <c r="V22" s="19">
        <f>'Endett. net + degré d''auto.'!V35</f>
        <v>104905.87000000001</v>
      </c>
      <c r="W22" s="19">
        <f>'Endett. net + degré d''auto.'!W35</f>
        <v>1940810.4300000002</v>
      </c>
      <c r="X22" s="19">
        <f>'Endett. net + degré d''auto.'!X35</f>
        <v>101563.76999999999</v>
      </c>
      <c r="Y22" s="19">
        <f>'Endett. net + degré d''auto.'!Y35</f>
        <v>1050199.27</v>
      </c>
      <c r="Z22" s="19">
        <f>'Endett. net + degré d''auto.'!Z35</f>
        <v>3351462.38</v>
      </c>
      <c r="AA22" s="19">
        <f>'Endett. net + degré d''auto.'!AA35</f>
        <v>-5526.0000000000091</v>
      </c>
      <c r="AB22" s="19">
        <f>'Endett. net + degré d''auto.'!AB35</f>
        <v>75351.459999999963</v>
      </c>
      <c r="AC22" s="19">
        <f>'Endett. net + degré d''auto.'!AC35</f>
        <v>113794.14</v>
      </c>
      <c r="AD22" s="19">
        <f>'Endett. net + degré d''auto.'!AD35</f>
        <v>252975.03999999998</v>
      </c>
      <c r="AE22" s="19">
        <f>'Endett. net + degré d''auto.'!AE35</f>
        <v>-119609.33999999998</v>
      </c>
      <c r="AF22" s="19">
        <f>'Endett. net + degré d''auto.'!AF35</f>
        <v>-108373.7</v>
      </c>
      <c r="AG22" s="19">
        <f>'Endett. net + degré d''auto.'!AG35</f>
        <v>1155426.28</v>
      </c>
      <c r="AH22" s="19">
        <f>'Endett. net + degré d''auto.'!AH35</f>
        <v>1288993.95</v>
      </c>
      <c r="AI22" s="19">
        <f>'Endett. net + degré d''auto.'!AI35</f>
        <v>112597.11</v>
      </c>
      <c r="AJ22" s="19">
        <f>'Endett. net + degré d''auto.'!AJ35</f>
        <v>131867.22999999998</v>
      </c>
      <c r="AK22" s="19">
        <f>'Endett. net + degré d''auto.'!AK35</f>
        <v>1410963.8900000001</v>
      </c>
      <c r="AL22" s="19">
        <f>'Endett. net + degré d''auto.'!AL35</f>
        <v>439840</v>
      </c>
      <c r="AM22" s="19">
        <f>'Endett. net + degré d''auto.'!AM35</f>
        <v>228942.06</v>
      </c>
      <c r="AN22" s="19">
        <f>'Endett. net + degré d''auto.'!AN35</f>
        <v>40757.96</v>
      </c>
      <c r="AO22" s="19">
        <f>'Endett. net + degré d''auto.'!AO35</f>
        <v>2553182.71</v>
      </c>
      <c r="AP22" s="19">
        <f>'Endett. net + degré d''auto.'!AP35</f>
        <v>82332.509999999995</v>
      </c>
      <c r="AQ22" s="19">
        <f>'Endett. net + degré d''auto.'!AQ35</f>
        <v>-9368</v>
      </c>
      <c r="AR22" s="19">
        <f>'Endett. net + degré d''auto.'!AR35</f>
        <v>387597.95999999996</v>
      </c>
      <c r="AS22" s="19">
        <f>'Endett. net + degré d''auto.'!AS35</f>
        <v>360231.08000000007</v>
      </c>
      <c r="AT22" s="19">
        <f>'Endett. net + degré d''auto.'!AT35</f>
        <v>238050.64999999997</v>
      </c>
      <c r="AU22" s="19">
        <f>'Endett. net + degré d''auto.'!AU35</f>
        <v>-192570.18</v>
      </c>
      <c r="AV22" s="19">
        <f>'Endett. net + degré d''auto.'!AV35</f>
        <v>862700.89999999991</v>
      </c>
      <c r="AW22" s="19">
        <f>'Endett. net + degré d''auto.'!AW35</f>
        <v>372341.33</v>
      </c>
      <c r="AX22" s="19">
        <f>'Endett. net + degré d''auto.'!AX35</f>
        <v>-16147.379999999997</v>
      </c>
      <c r="AY22" s="19">
        <f>'Endett. net + degré d''auto.'!AY35</f>
        <v>87845.56</v>
      </c>
      <c r="AZ22" s="19">
        <f>'Endett. net + degré d''auto.'!AZ35</f>
        <v>381830.6</v>
      </c>
      <c r="BA22" s="19">
        <f>'Endett. net + degré d''auto.'!BA35</f>
        <v>44166.130000000005</v>
      </c>
      <c r="BB22" s="19">
        <f>'Endett. net + degré d''auto.'!BB35</f>
        <v>796357</v>
      </c>
      <c r="BC22" s="19">
        <f>'Endett. net + degré d''auto.'!BC35</f>
        <v>27300.52</v>
      </c>
      <c r="BD22" s="19">
        <f>'Endett. net + degré d''auto.'!BD35</f>
        <v>3262627.7</v>
      </c>
      <c r="BE22" s="19">
        <f>'Endett. net + degré d''auto.'!BE35</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d''auto.'!D42</f>
        <v>67.194329389240536</v>
      </c>
      <c r="E24" s="19">
        <f>'Endett. net + degré d''auto.'!E42</f>
        <v>21.312569445679369</v>
      </c>
      <c r="F24" s="19">
        <f>'Endett. net + degré d''auto.'!F42</f>
        <v>-563.87537188002761</v>
      </c>
      <c r="G24" s="19">
        <f>'Endett. net + degré d''auto.'!G42</f>
        <v>203.28533679785812</v>
      </c>
      <c r="H24" s="19">
        <f>'Endett. net + degré d''auto.'!H42</f>
        <v>-29.030676000647748</v>
      </c>
      <c r="I24" s="19">
        <f>'Endett. net + degré d''auto.'!I42</f>
        <v>61.208832186463255</v>
      </c>
      <c r="J24" s="19">
        <f>'Endett. net + degré d''auto.'!J42</f>
        <v>73.501914710136631</v>
      </c>
      <c r="K24" s="19">
        <f>'Endett. net + degré d''auto.'!K42</f>
        <v>192.09903418549607</v>
      </c>
      <c r="L24" s="19">
        <f>'Endett. net + degré d''auto.'!L42</f>
        <v>22.649256583754063</v>
      </c>
      <c r="M24" s="19">
        <f>'Endett. net + degré d''auto.'!M42</f>
        <v>-10.506847950425319</v>
      </c>
      <c r="N24" s="19">
        <f>'Endett. net + degré d''auto.'!N42</f>
        <v>181.49838554319052</v>
      </c>
      <c r="O24" s="19">
        <f>'Endett. net + degré d''auto.'!O42</f>
        <v>62.174089402804732</v>
      </c>
      <c r="P24" s="19">
        <f>'Endett. net + degré d''auto.'!P42</f>
        <v>-5.1249294950926139</v>
      </c>
      <c r="Q24" s="19">
        <f>'Endett. net + degré d''auto.'!Q42</f>
        <v>1826.136690811873</v>
      </c>
      <c r="R24" s="19">
        <f>'Endett. net + degré d''auto.'!R42</f>
        <v>125.8659849698395</v>
      </c>
      <c r="S24" s="19">
        <f>'Endett. net + degré d''auto.'!S42</f>
        <v>-1.2176458554437644</v>
      </c>
      <c r="T24" s="19">
        <f>'Endett. net + degré d''auto.'!T42</f>
        <v>224.59283943831824</v>
      </c>
      <c r="U24" s="19">
        <f>'Endett. net + degré d''auto.'!U42</f>
        <v>-40.809347000664729</v>
      </c>
      <c r="V24" s="19">
        <f>'Endett. net + degré d''auto.'!V42</f>
        <v>170.60084238600143</v>
      </c>
      <c r="W24" s="19">
        <f>'Endett. net + degré d''auto.'!W42</f>
        <v>76.027378875791925</v>
      </c>
      <c r="X24" s="19">
        <f>'Endett. net + degré d''auto.'!X42</f>
        <v>30.910992823565376</v>
      </c>
      <c r="Y24" s="19">
        <f>'Endett. net + degré d''auto.'!Y42</f>
        <v>239.09338194431641</v>
      </c>
      <c r="Z24" s="19">
        <f>'Endett. net + degré d''auto.'!Z42</f>
        <v>1295.8320947748555</v>
      </c>
      <c r="AA24" s="19">
        <f>'Endett. net + degré d''auto.'!AA42</f>
        <v>-1.6267644256117393</v>
      </c>
      <c r="AB24" s="19">
        <f>'Endett. net + degré d''auto.'!AB42</f>
        <v>42.270596699479249</v>
      </c>
      <c r="AC24" s="19">
        <f>'Endett. net + degré d''auto.'!AC42</f>
        <v>37.348494495900638</v>
      </c>
      <c r="AD24" s="19">
        <f>'Endett. net + degré d''auto.'!AD42</f>
        <v>18.391310523541478</v>
      </c>
      <c r="AE24" s="19">
        <f>'Endett. net + degré d''auto.'!AE42</f>
        <v>-24.766668985772284</v>
      </c>
      <c r="AF24" s="19">
        <f>'Endett. net + degré d''auto.'!AF42</f>
        <v>-19.918783322778165</v>
      </c>
      <c r="AG24" s="19">
        <f>'Endett. net + degré d''auto.'!AG42</f>
        <v>147.00305826583187</v>
      </c>
      <c r="AH24" s="19">
        <f>'Endett. net + degré d''auto.'!AH42</f>
        <v>277.27918916559065</v>
      </c>
      <c r="AI24" s="19">
        <f>'Endett. net + degré d''auto.'!AI42</f>
        <v>539.54630945164683</v>
      </c>
      <c r="AJ24" s="19">
        <f>'Endett. net + degré d''auto.'!AJ42</f>
        <v>229.44264987728982</v>
      </c>
      <c r="AK24" s="19">
        <f>'Endett. net + degré d''auto.'!AK42</f>
        <v>525.89147782045325</v>
      </c>
      <c r="AL24" s="19">
        <f>'Endett. net + degré d''auto.'!AL42</f>
        <v>295.26438460629629</v>
      </c>
      <c r="AM24" s="19">
        <f>'Endett. net + degré d''auto.'!AM42</f>
        <v>62.472854951036993</v>
      </c>
      <c r="AN24" s="19">
        <f>'Endett. net + degré d''auto.'!AN42</f>
        <v>207.3510543586091</v>
      </c>
      <c r="AO24" s="19">
        <f>'Endett. net + degré d''auto.'!AO42</f>
        <v>191.45490523694127</v>
      </c>
      <c r="AP24" s="19">
        <f>'Endett. net + degré d''auto.'!AP42</f>
        <v>24.877011658874139</v>
      </c>
      <c r="AQ24" s="19">
        <f>'Endett. net + degré d''auto.'!AQ42</f>
        <v>-0.89305593244195847</v>
      </c>
      <c r="AR24" s="19">
        <f>'Endett. net + degré d''auto.'!AR42</f>
        <v>31.922465753648044</v>
      </c>
      <c r="AS24" s="19">
        <f>'Endett. net + degré d''auto.'!AS42</f>
        <v>475.11415868393402</v>
      </c>
      <c r="AT24" s="19">
        <f>'Endett. net + degré d''auto.'!AT42</f>
        <v>25.042181311630234</v>
      </c>
      <c r="AU24" s="19">
        <f>'Endett. net + degré d''auto.'!AU42</f>
        <v>-154.43878152510661</v>
      </c>
      <c r="AV24" s="19">
        <f>'Endett. net + degré d''auto.'!AV42</f>
        <v>43.296409636304261</v>
      </c>
      <c r="AW24" s="19">
        <f>'Endett. net + degré d''auto.'!AW42</f>
        <v>113.54476500245332</v>
      </c>
      <c r="AX24" s="19" t="e">
        <f>'Endett. net + degré d''auto.'!AX42</f>
        <v>#VALUE!</v>
      </c>
      <c r="AY24" s="19">
        <f>'Endett. net + degré d''auto.'!AY42</f>
        <v>103.85434357131582</v>
      </c>
      <c r="AZ24" s="19">
        <f>'Endett. net + degré d''auto.'!AZ42</f>
        <v>144.42016621739126</v>
      </c>
      <c r="BA24" s="19">
        <f>'Endett. net + degré d''auto.'!BA42</f>
        <v>4.3823222921746385</v>
      </c>
      <c r="BB24" s="19">
        <f>'Endett. net + degré d''auto.'!BB42</f>
        <v>95.045990170420197</v>
      </c>
      <c r="BC24" s="19">
        <f>'Endett. net + degré d''auto.'!BC42</f>
        <v>10.256202959252656</v>
      </c>
      <c r="BD24" s="19">
        <f>'Endett. net + degré d''auto.'!BD42</f>
        <v>56.743736613665554</v>
      </c>
      <c r="BE24" s="19">
        <f>'Endett. net + degré d''auto.'!BE42</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det'!D19</f>
        <v>0.91031203330682231</v>
      </c>
      <c r="E27" s="19">
        <f>'Quotité d''intéret + revenus det'!E19</f>
        <v>1.2908947330016323</v>
      </c>
      <c r="F27" s="19">
        <f>'Quotité d''intéret + revenus det'!F19</f>
        <v>2.3957581975040663</v>
      </c>
      <c r="G27" s="19">
        <f>'Quotité d''intéret + revenus det'!G19</f>
        <v>2.4147212680793815</v>
      </c>
      <c r="H27" s="19">
        <f>'Quotité d''intéret + revenus det'!H19</f>
        <v>2.6231659800971761</v>
      </c>
      <c r="I27" s="19">
        <f>'Quotité d''intéret + revenus det'!I19</f>
        <v>1.7190633935252566</v>
      </c>
      <c r="J27" s="19">
        <f>'Quotité d''intéret + revenus det'!J19</f>
        <v>0.76443847958288491</v>
      </c>
      <c r="K27" s="19">
        <f>'Quotité d''intéret + revenus det'!K19</f>
        <v>0.7893764757558861</v>
      </c>
      <c r="L27" s="19">
        <f>'Quotité d''intéret + revenus det'!L19</f>
        <v>0.88530526966770251</v>
      </c>
      <c r="M27" s="19">
        <f>'Quotité d''intéret + revenus det'!M19</f>
        <v>0.10082281196327897</v>
      </c>
      <c r="N27" s="19">
        <f>'Quotité d''intéret + revenus det'!N19</f>
        <v>1.0311858785160979</v>
      </c>
      <c r="O27" s="19">
        <f>'Quotité d''intéret + revenus det'!O19</f>
        <v>0.31966240251223749</v>
      </c>
      <c r="P27" s="19">
        <f>'Quotité d''intéret + revenus det'!P19</f>
        <v>2.170171703069586</v>
      </c>
      <c r="Q27" s="19">
        <f>'Quotité d''intéret + revenus det'!Q19</f>
        <v>1.1791159550166586</v>
      </c>
      <c r="R27" s="19">
        <f>'Quotité d''intéret + revenus det'!R19</f>
        <v>3.6427835964789845</v>
      </c>
      <c r="S27" s="19">
        <f>'Quotité d''intéret + revenus det'!S19</f>
        <v>4.5308051941676544</v>
      </c>
      <c r="T27" s="19">
        <f>'Quotité d''intéret + revenus det'!T19</f>
        <v>0.7248233460208231</v>
      </c>
      <c r="U27" s="19">
        <f>'Quotité d''intéret + revenus det'!U19</f>
        <v>-2.1163097292421044E-2</v>
      </c>
      <c r="V27" s="19">
        <f>'Quotité d''intéret + revenus det'!V19</f>
        <v>0.94495450904468414</v>
      </c>
      <c r="W27" s="19">
        <f>'Quotité d''intéret + revenus det'!W19</f>
        <v>0.54958071436815803</v>
      </c>
      <c r="X27" s="19">
        <f>'Quotité d''intéret + revenus det'!X19</f>
        <v>0.16399454868450139</v>
      </c>
      <c r="Y27" s="19">
        <f>'Quotité d''intéret + revenus det'!Y19</f>
        <v>1.7794608368789897</v>
      </c>
      <c r="Z27" s="19">
        <f>'Quotité d''intéret + revenus det'!Z19</f>
        <v>-0.23254188116699001</v>
      </c>
      <c r="AA27" s="19">
        <f>'Quotité d''intéret + revenus det'!AA19</f>
        <v>4.7993012675389242</v>
      </c>
      <c r="AB27" s="19">
        <f>'Quotité d''intéret + revenus det'!AB19</f>
        <v>9.7359395104121602E-2</v>
      </c>
      <c r="AC27" s="19">
        <f>'Quotité d''intéret + revenus det'!AC19</f>
        <v>2.1434124801845176</v>
      </c>
      <c r="AD27" s="19">
        <f>'Quotité d''intéret + revenus det'!AD19</f>
        <v>2.485231191684159</v>
      </c>
      <c r="AE27" s="19">
        <f>'Quotité d''intéret + revenus det'!AE19</f>
        <v>0.78396926528344524</v>
      </c>
      <c r="AF27" s="19">
        <f>'Quotité d''intéret + revenus det'!AF19</f>
        <v>0.5218519483662809</v>
      </c>
      <c r="AG27" s="19">
        <f>'Quotité d''intéret + revenus det'!AG19</f>
        <v>0.15040278486034397</v>
      </c>
      <c r="AH27" s="19">
        <f>'Quotité d''intéret + revenus det'!AH19</f>
        <v>0.65591413875337634</v>
      </c>
      <c r="AI27" s="19">
        <f>'Quotité d''intéret + revenus det'!AI19</f>
        <v>0</v>
      </c>
      <c r="AJ27" s="19">
        <f>'Quotité d''intéret + revenus det'!AJ19</f>
        <v>0.22696931685952693</v>
      </c>
      <c r="AK27" s="19">
        <f>'Quotité d''intéret + revenus det'!AK19</f>
        <v>1.2161204573964297</v>
      </c>
      <c r="AL27" s="19">
        <f>'Quotité d''intéret + revenus det'!AL19</f>
        <v>0.73233921445521977</v>
      </c>
      <c r="AM27" s="19">
        <f>'Quotité d''intéret + revenus det'!AM19</f>
        <v>1.6572495346730565</v>
      </c>
      <c r="AN27" s="19">
        <f>'Quotité d''intéret + revenus det'!AN19</f>
        <v>2.135498718440243</v>
      </c>
      <c r="AO27" s="19">
        <f>'Quotité d''intéret + revenus det'!AO19</f>
        <v>0.38550404004778838</v>
      </c>
      <c r="AP27" s="19">
        <f>'Quotité d''intéret + revenus det'!AP19</f>
        <v>0.85546659803510794</v>
      </c>
      <c r="AQ27" s="19">
        <f>'Quotité d''intéret + revenus det'!AQ19</f>
        <v>1.712110582590523</v>
      </c>
      <c r="AR27" s="19">
        <f>'Quotité d''intéret + revenus det'!AR19</f>
        <v>1.3518655734755585</v>
      </c>
      <c r="AS27" s="19">
        <f>'Quotité d''intéret + revenus det'!AS19</f>
        <v>-0.78431147668285472</v>
      </c>
      <c r="AT27" s="19">
        <f>'Quotité d''intéret + revenus det'!AT19</f>
        <v>2.8818919309803337</v>
      </c>
      <c r="AU27" s="19">
        <f>'Quotité d''intéret + revenus det'!AU19</f>
        <v>0.84733302378090547</v>
      </c>
      <c r="AV27" s="19">
        <f>'Quotité d''intéret + revenus det'!AV19</f>
        <v>1.726060413713872</v>
      </c>
      <c r="AW27" s="19">
        <f>'Quotité d''intéret + revenus det'!AW19</f>
        <v>1.3645842236170864</v>
      </c>
      <c r="AX27" s="19">
        <f>'Quotité d''intéret + revenus det'!AX19</f>
        <v>0.41841489508779939</v>
      </c>
      <c r="AY27" s="19">
        <f>'Quotité d''intéret + revenus det'!AY19</f>
        <v>0.33609679263040981</v>
      </c>
      <c r="AZ27" s="19">
        <f>'Quotité d''intéret + revenus det'!AZ19</f>
        <v>4.6681898119600937</v>
      </c>
      <c r="BA27" s="19">
        <f>'Quotité d''intéret + revenus det'!BA19</f>
        <v>0.44423200930526824</v>
      </c>
      <c r="BB27" s="19">
        <f>'Quotité d''intéret + revenus det'!BB19</f>
        <v>0.41263999505168164</v>
      </c>
      <c r="BC27" s="19">
        <f>'Quotité d''intéret + revenus det'!BC19</f>
        <v>-1.4027129665756275</v>
      </c>
      <c r="BD27" s="19">
        <f>'Quotité d''intéret + revenus det'!BD19</f>
        <v>0.94454284375961817</v>
      </c>
      <c r="BE27" s="19">
        <f>'Quotité d''intéret + revenus det'!BE19</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det'!D34</f>
        <v>162.25012579612346</v>
      </c>
      <c r="E29" s="19">
        <f>'Quotité d''intéret + revenus det'!E34</f>
        <v>392.7387334402905</v>
      </c>
      <c r="F29" s="19">
        <f>'Quotité d''intéret + revenus det'!F34</f>
        <v>232.7104452321183</v>
      </c>
      <c r="G29" s="19">
        <f>'Quotité d''intéret + revenus det'!G34</f>
        <v>277.48469582830523</v>
      </c>
      <c r="H29" s="19">
        <f>'Quotité d''intéret + revenus det'!H34</f>
        <v>221.4166941632183</v>
      </c>
      <c r="I29" s="19">
        <f>'Quotité d''intéret + revenus det'!I34</f>
        <v>159.02331703581351</v>
      </c>
      <c r="J29" s="19">
        <f>'Quotité d''intéret + revenus det'!J34</f>
        <v>163.45145336118424</v>
      </c>
      <c r="K29" s="19">
        <f>'Quotité d''intéret + revenus det'!K34</f>
        <v>87.584556901860537</v>
      </c>
      <c r="L29" s="19">
        <f>'Quotité d''intéret + revenus det'!L34</f>
        <v>164.97048895484664</v>
      </c>
      <c r="M29" s="19">
        <f>'Quotité d''intéret + revenus det'!M34</f>
        <v>98.422288210247984</v>
      </c>
      <c r="N29" s="19">
        <f>'Quotité d''intéret + revenus det'!N34</f>
        <v>210.42002648131279</v>
      </c>
      <c r="O29" s="19">
        <f>'Quotité d''intéret + revenus det'!O34</f>
        <v>159.62819613428326</v>
      </c>
      <c r="P29" s="19">
        <f>'Quotité d''intéret + revenus det'!P34</f>
        <v>241.65913047673038</v>
      </c>
      <c r="Q29" s="19">
        <f>'Quotité d''intéret + revenus det'!Q34</f>
        <v>110.97438161325479</v>
      </c>
      <c r="R29" s="19">
        <f>'Quotité d''intéret + revenus det'!R34</f>
        <v>298.69165457733391</v>
      </c>
      <c r="S29" s="19">
        <f>'Quotité d''intéret + revenus det'!S34</f>
        <v>289.88950160619493</v>
      </c>
      <c r="T29" s="19">
        <f>'Quotité d''intéret + revenus det'!T34</f>
        <v>151.93619764148482</v>
      </c>
      <c r="U29" s="19">
        <f>'Quotité d''intéret + revenus det'!U34</f>
        <v>133.59819995884524</v>
      </c>
      <c r="V29" s="19">
        <f>'Quotité d''intéret + revenus det'!V34</f>
        <v>155.8090812588531</v>
      </c>
      <c r="W29" s="19">
        <f>'Quotité d''intéret + revenus det'!W34</f>
        <v>125.53878746554095</v>
      </c>
      <c r="X29" s="19">
        <f>'Quotité d''intéret + revenus det'!X34</f>
        <v>24.946947699850689</v>
      </c>
      <c r="Y29" s="19">
        <f>'Quotité d''intéret + revenus det'!Y34</f>
        <v>197.90201069046759</v>
      </c>
      <c r="Z29" s="19">
        <f>'Quotité d''intéret + revenus det'!Z34</f>
        <v>49.624278342064876</v>
      </c>
      <c r="AA29" s="19">
        <f>'Quotité d''intéret + revenus det'!AA34</f>
        <v>1972.0462692987905</v>
      </c>
      <c r="AB29" s="19">
        <f>'Quotité d''intéret + revenus det'!AB34</f>
        <v>141.45408031636822</v>
      </c>
      <c r="AC29" s="19">
        <f>'Quotité d''intéret + revenus det'!AC34</f>
        <v>175.62243412339194</v>
      </c>
      <c r="AD29" s="19">
        <f>'Quotité d''intéret + revenus det'!AD34</f>
        <v>403.30637826951914</v>
      </c>
      <c r="AE29" s="19">
        <f>'Quotité d''intéret + revenus det'!AE34</f>
        <v>143.14501755376847</v>
      </c>
      <c r="AF29" s="19">
        <f>'Quotité d''intéret + revenus det'!AF34</f>
        <v>34.35823621876051</v>
      </c>
      <c r="AG29" s="19">
        <f>'Quotité d''intéret + revenus det'!AG34</f>
        <v>54.892133298098521</v>
      </c>
      <c r="AH29" s="19">
        <f>'Quotité d''intéret + revenus det'!AH34</f>
        <v>129.97080593555052</v>
      </c>
      <c r="AI29" s="19">
        <f>'Quotité d''intéret + revenus det'!AI34</f>
        <v>199.19019422221399</v>
      </c>
      <c r="AJ29" s="19">
        <f>'Quotité d''intéret + revenus det'!AJ34</f>
        <v>85.532621551484709</v>
      </c>
      <c r="AK29" s="19">
        <f>'Quotité d''intéret + revenus det'!AK34</f>
        <v>204.00661656302569</v>
      </c>
      <c r="AL29" s="19">
        <f>'Quotité d''intéret + revenus det'!AL34</f>
        <v>175.59639370457973</v>
      </c>
      <c r="AM29" s="19">
        <f>'Quotité d''intéret + revenus det'!AM34</f>
        <v>224.19473000016654</v>
      </c>
      <c r="AN29" s="19">
        <f>'Quotité d''intéret + revenus det'!AN34</f>
        <v>234.38130641722447</v>
      </c>
      <c r="AO29" s="19">
        <f>'Quotité d''intéret + revenus det'!AO34</f>
        <v>88.995317974666392</v>
      </c>
      <c r="AP29" s="19">
        <f>'Quotité d''intéret + revenus det'!AP34</f>
        <v>147.06948719802685</v>
      </c>
      <c r="AQ29" s="19">
        <f>'Quotité d''intéret + revenus det'!AQ34</f>
        <v>205.29305893229554</v>
      </c>
      <c r="AR29" s="19">
        <f>'Quotité d''intéret + revenus det'!AR34</f>
        <v>346.19911857575312</v>
      </c>
      <c r="AS29" s="19">
        <f>'Quotité d''intéret + revenus det'!AS34</f>
        <v>180.83473680228266</v>
      </c>
      <c r="AT29" s="19">
        <f>'Quotité d''intéret + revenus det'!AT34</f>
        <v>385.56609443864716</v>
      </c>
      <c r="AU29" s="19">
        <f>'Quotité d''intéret + revenus det'!AU34</f>
        <v>126.63478514430193</v>
      </c>
      <c r="AV29" s="19">
        <f>'Quotité d''intéret + revenus det'!AV34</f>
        <v>201.93961340533889</v>
      </c>
      <c r="AW29" s="19">
        <f>'Quotité d''intéret + revenus det'!AW34</f>
        <v>182.99912571510191</v>
      </c>
      <c r="AX29" s="19">
        <f>'Quotité d''intéret + revenus det'!AX34</f>
        <v>91.39542993125589</v>
      </c>
      <c r="AY29" s="19">
        <f>'Quotité d''intéret + revenus det'!AY34</f>
        <v>152.63224735592763</v>
      </c>
      <c r="AZ29" s="19">
        <f>'Quotité d''intéret + revenus det'!AZ34</f>
        <v>417.54497413121766</v>
      </c>
      <c r="BA29" s="19">
        <f>'Quotité d''intéret + revenus det'!BA34</f>
        <v>187.15514261231476</v>
      </c>
      <c r="BB29" s="19">
        <f>'Quotité d''intéret + revenus det'!BB34</f>
        <v>183.79819063665224</v>
      </c>
      <c r="BC29" s="19">
        <f>'Quotité d''intéret + revenus det'!BC34</f>
        <v>37.065938353492001</v>
      </c>
      <c r="BD29" s="19">
        <f>'Quotité d''intéret + revenus det'!BD34</f>
        <v>165.04217999036379</v>
      </c>
      <c r="BE29" s="19">
        <f>'Quotité d''intéret + revenus det'!BE34</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fin.'!D20</f>
        <v>13.797218046769338</v>
      </c>
      <c r="E31" s="19">
        <f>'Quotité d''invest + fin.'!E20</f>
        <v>9.7505448655740743</v>
      </c>
      <c r="F31" s="19">
        <f>'Quotité d''invest + fin.'!F20</f>
        <v>2.6409926983838217</v>
      </c>
      <c r="G31" s="19">
        <f>'Quotité d''invest + fin.'!G20</f>
        <v>13.761586149996905</v>
      </c>
      <c r="H31" s="19">
        <f>'Quotité d''invest + fin.'!H20</f>
        <v>3.2902520228469214</v>
      </c>
      <c r="I31" s="19">
        <f>'Quotité d''invest + fin.'!I20</f>
        <v>14.037696959038893</v>
      </c>
      <c r="J31" s="19">
        <f>'Quotité d''invest + fin.'!J20</f>
        <v>14.573239071511567</v>
      </c>
      <c r="K31" s="19">
        <f>'Quotité d''invest + fin.'!K20</f>
        <v>8.8800887335648948</v>
      </c>
      <c r="L31" s="19">
        <f>'Quotité d''invest + fin.'!L20</f>
        <v>10.884123751597309</v>
      </c>
      <c r="M31" s="19">
        <f>'Quotité d''invest + fin.'!M20</f>
        <v>20.801080816594002</v>
      </c>
      <c r="N31" s="19">
        <f>'Quotité d''invest + fin.'!N20</f>
        <v>9.5379508762045848</v>
      </c>
      <c r="O31" s="19">
        <f>'Quotité d''invest + fin.'!O20</f>
        <v>18.014278705230616</v>
      </c>
      <c r="P31" s="19">
        <f>'Quotité d''invest + fin.'!P20</f>
        <v>2.6780980111174268</v>
      </c>
      <c r="Q31" s="19">
        <f>'Quotité d''invest + fin.'!Q20</f>
        <v>0.56394673800567774</v>
      </c>
      <c r="R31" s="19">
        <f>'Quotité d''invest + fin.'!R20</f>
        <v>2.8342129746356326</v>
      </c>
      <c r="S31" s="19">
        <f>'Quotité d''invest + fin.'!S20</f>
        <v>1.5481099297879436E-2</v>
      </c>
      <c r="T31" s="19">
        <f>'Quotité d''invest + fin.'!T20</f>
        <v>6.4838959858789149</v>
      </c>
      <c r="U31" s="19">
        <f>'Quotité d''invest + fin.'!U20</f>
        <v>10.490281425874342</v>
      </c>
      <c r="V31" s="19">
        <f>'Quotité d''invest + fin.'!V20</f>
        <v>2.9805417210258622</v>
      </c>
      <c r="W31" s="19">
        <f>'Quotité d''invest + fin.'!W20</f>
        <v>31.875328997529813</v>
      </c>
      <c r="X31" s="19">
        <f>'Quotité d''invest + fin.'!X20</f>
        <v>19.657985500322585</v>
      </c>
      <c r="Y31" s="19">
        <f>'Quotité d''invest + fin.'!Y20</f>
        <v>8.9501730862460995</v>
      </c>
      <c r="Z31" s="19">
        <f>'Quotité d''invest + fin.'!Z20</f>
        <v>3.0131895696140614</v>
      </c>
      <c r="AA31" s="19">
        <f>'Quotité d''invest + fin.'!AA20</f>
        <v>45.08929285474651</v>
      </c>
      <c r="AB31" s="19">
        <f>'Quotité d''invest + fin.'!AB20</f>
        <v>20.216477427538667</v>
      </c>
      <c r="AC31" s="19">
        <f>'Quotité d''invest + fin.'!AC20</f>
        <v>12.888613291764942</v>
      </c>
      <c r="AD31" s="19">
        <f>'Quotité d''invest + fin.'!AD20</f>
        <v>31.350452333907313</v>
      </c>
      <c r="AE31" s="19">
        <f>'Quotité d''invest + fin.'!AE20</f>
        <v>15.234422335761611</v>
      </c>
      <c r="AF31" s="19">
        <f>'Quotité d''invest + fin.'!AF20</f>
        <v>17.520917825459151</v>
      </c>
      <c r="AG31" s="19">
        <f>'Quotité d''invest + fin.'!AG20</f>
        <v>9.2362019144342415</v>
      </c>
      <c r="AH31" s="19">
        <f>'Quotité d''invest + fin.'!AH20</f>
        <v>9.8531892006598252</v>
      </c>
      <c r="AI31" s="19">
        <f>'Quotité d''invest + fin.'!AI20</f>
        <v>2.6525193275794221</v>
      </c>
      <c r="AJ31" s="19">
        <f>'Quotité d''invest + fin.'!AJ20</f>
        <v>9.6505496065659813</v>
      </c>
      <c r="AK31" s="19">
        <f>'Quotité d''invest + fin.'!AK20</f>
        <v>9.1129531845786609</v>
      </c>
      <c r="AL31" s="19">
        <f>'Quotité d''invest + fin.'!AL20</f>
        <v>4.9168180373904686</v>
      </c>
      <c r="AM31" s="19">
        <f>'Quotité d''invest + fin.'!AM20</f>
        <v>8.6138659825377086</v>
      </c>
      <c r="AN31" s="19">
        <f>'Quotité d''invest + fin.'!AN20</f>
        <v>3.7911921713487318</v>
      </c>
      <c r="AO31" s="19">
        <f>'Quotité d''invest + fin.'!AO20</f>
        <v>16.989752983552982</v>
      </c>
      <c r="AP31" s="19">
        <f>'Quotité d''invest + fin.'!AP20</f>
        <v>8.7252971318021508</v>
      </c>
      <c r="AQ31" s="19">
        <f>'Quotité d''invest + fin.'!AQ20</f>
        <v>32.767007602816065</v>
      </c>
      <c r="AR31" s="19">
        <f>'Quotité d''invest + fin.'!AR20</f>
        <v>24.340325405076214</v>
      </c>
      <c r="AS31" s="19">
        <f>'Quotité d''invest + fin.'!AS20</f>
        <v>4.850430935298113</v>
      </c>
      <c r="AT31" s="19">
        <f>'Quotité d''invest + fin.'!AT20</f>
        <v>20.525497916217624</v>
      </c>
      <c r="AU31" s="19">
        <f>'Quotité d''invest + fin.'!AU20</f>
        <v>9.8575234649209005</v>
      </c>
      <c r="AV31" s="19">
        <f>'Quotité d''invest + fin.'!AV20</f>
        <v>18.773109541245287</v>
      </c>
      <c r="AW31" s="19">
        <f>'Quotité d''invest + fin.'!AW20</f>
        <v>10.663471999836215</v>
      </c>
      <c r="AX31" s="19">
        <f>'Quotité d''invest + fin.'!AX20</f>
        <v>0</v>
      </c>
      <c r="AY31" s="19">
        <f>'Quotité d''invest + fin.'!AY20</f>
        <v>6.6839111941864813</v>
      </c>
      <c r="AZ31" s="19">
        <f>'Quotité d''invest + fin.'!AZ20</f>
        <v>4.1141123088221283</v>
      </c>
      <c r="BA31" s="19">
        <f>'Quotité d''invest + fin.'!BA20</f>
        <v>45.174978113451843</v>
      </c>
      <c r="BB31" s="19">
        <f>'Quotité d''invest + fin.'!BB20</f>
        <v>15.66599431857715</v>
      </c>
      <c r="BC31" s="19">
        <f>'Quotité d''invest + fin.'!BC20</f>
        <v>38.121427791512389</v>
      </c>
      <c r="BD31" s="19">
        <f>'Quotité d''invest + fin.'!BD20</f>
        <v>15.326733637818837</v>
      </c>
      <c r="BE31" s="19">
        <f>'Quotité d''invest + fin.'!BE20</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fin.'!D37</f>
        <v>7.6079357253196065</v>
      </c>
      <c r="E33" s="19">
        <f>'Quotité d''invest + fin.'!E37</f>
        <v>12.090169250054204</v>
      </c>
      <c r="F33" s="19">
        <f>'Quotité d''invest + fin.'!F37</f>
        <v>10.458213181547814</v>
      </c>
      <c r="G33" s="19">
        <f>'Quotité d''invest + fin.'!G37</f>
        <v>6.5934071665600893</v>
      </c>
      <c r="H33" s="19">
        <f>'Quotité d''invest + fin.'!H37</f>
        <v>7.5679703955082998</v>
      </c>
      <c r="I33" s="19">
        <f>'Quotité d''invest + fin.'!I37</f>
        <v>6.9762431688288107</v>
      </c>
      <c r="J33" s="19">
        <f>'Quotité d''invest + fin.'!J37</f>
        <v>8.4408921878720076</v>
      </c>
      <c r="K33" s="19">
        <f>'Quotité d''invest + fin.'!K37</f>
        <v>6.1466167209845297</v>
      </c>
      <c r="L33" s="19">
        <f>'Quotité d''invest + fin.'!L37</f>
        <v>6.7996522677849498</v>
      </c>
      <c r="M33" s="19">
        <f>'Quotité d''invest + fin.'!M37</f>
        <v>8.0913613959889901</v>
      </c>
      <c r="N33" s="19">
        <f>'Quotité d''invest + fin.'!N37</f>
        <v>12.13612651307383</v>
      </c>
      <c r="O33" s="19">
        <f>'Quotité d''invest + fin.'!O37</f>
        <v>5.4099701364197914</v>
      </c>
      <c r="P33" s="19">
        <f>'Quotité d''invest + fin.'!P37</f>
        <v>12.719036784970644</v>
      </c>
      <c r="Q33" s="19">
        <f>'Quotité d''invest + fin.'!Q37</f>
        <v>4.1411765224803627</v>
      </c>
      <c r="R33" s="19">
        <f>'Quotité d''invest + fin.'!R37</f>
        <v>11.880917840001617</v>
      </c>
      <c r="S33" s="19">
        <f>'Quotité d''invest + fin.'!S37</f>
        <v>11.924375333286504</v>
      </c>
      <c r="T33" s="19">
        <f>'Quotité d''invest + fin.'!T37</f>
        <v>5.6937620083107312</v>
      </c>
      <c r="U33" s="19">
        <f>'Quotité d''invest + fin.'!U37</f>
        <v>5.2553083374286942</v>
      </c>
      <c r="V33" s="19">
        <f>'Quotité d''invest + fin.'!V37</f>
        <v>7.1594707974857537</v>
      </c>
      <c r="W33" s="19">
        <f>'Quotité d''invest + fin.'!W37</f>
        <v>10.359433869311674</v>
      </c>
      <c r="X33" s="19">
        <f>'Quotité d''invest + fin.'!X37</f>
        <v>3.2488875573667051</v>
      </c>
      <c r="Y33" s="19">
        <f>'Quotité d''invest + fin.'!Y37</f>
        <v>7.8942286849945784</v>
      </c>
      <c r="Z33" s="19">
        <f>'Quotité d''invest + fin.'!Z37</f>
        <v>4.8078557970583979</v>
      </c>
      <c r="AA33" s="19">
        <f>'Quotité d''invest + fin.'!AA37</f>
        <v>176.47482520825093</v>
      </c>
      <c r="AB33" s="19">
        <f>'Quotité d''invest + fin.'!AB37</f>
        <v>17.779222821081234</v>
      </c>
      <c r="AC33" s="19">
        <f>'Quotité d''invest + fin.'!AC37</f>
        <v>5.716206735600788</v>
      </c>
      <c r="AD33" s="19">
        <f>'Quotité d''invest + fin.'!AD37</f>
        <v>17.455134371709075</v>
      </c>
      <c r="AE33" s="19">
        <f>'Quotité d''invest + fin.'!AE37</f>
        <v>5.6178086515451184</v>
      </c>
      <c r="AF33" s="19">
        <f>'Quotité d''invest + fin.'!AF37</f>
        <v>4.1314701003073626</v>
      </c>
      <c r="AG33" s="19">
        <f>'Quotité d''invest + fin.'!AG37</f>
        <v>6.298659082084761</v>
      </c>
      <c r="AH33" s="19">
        <f>'Quotité d''invest + fin.'!AH37</f>
        <v>6.8957561693522447</v>
      </c>
      <c r="AI33" s="19">
        <f>'Quotité d''invest + fin.'!AI37</f>
        <v>7.7832433067894238</v>
      </c>
      <c r="AJ33" s="19">
        <f>'Quotité d''invest + fin.'!AJ37</f>
        <v>15.882005121179601</v>
      </c>
      <c r="AK33" s="19">
        <f>'Quotité d''invest + fin.'!AK37</f>
        <v>6.1239366804620579</v>
      </c>
      <c r="AL33" s="19">
        <f>'Quotité d''invest + fin.'!AL37</f>
        <v>7.8313848935473498</v>
      </c>
      <c r="AM33" s="19">
        <f>'Quotité d''invest + fin.'!AM37</f>
        <v>6.8992009712753823</v>
      </c>
      <c r="AN33" s="19">
        <f>'Quotité d''invest + fin.'!AN37</f>
        <v>9.3024536303528311</v>
      </c>
      <c r="AO33" s="19">
        <f>'Quotité d''invest + fin.'!AO37</f>
        <v>6.4204969564339951</v>
      </c>
      <c r="AP33" s="19">
        <f>'Quotité d''invest + fin.'!AP37</f>
        <v>3.9793013373771307</v>
      </c>
      <c r="AQ33" s="19">
        <f>'Quotité d''invest + fin.'!AQ37</f>
        <v>11.509149096369146</v>
      </c>
      <c r="AR33" s="19">
        <f>'Quotité d''invest + fin.'!AR37</f>
        <v>33.621762120609198</v>
      </c>
      <c r="AS33" s="19">
        <f>'Quotité d''invest + fin.'!AS37</f>
        <v>4.7598571960487996</v>
      </c>
      <c r="AT33" s="19">
        <f>'Quotité d''invest + fin.'!AT37</f>
        <v>13.542110401458638</v>
      </c>
      <c r="AU33" s="19">
        <f>'Quotité d''invest + fin.'!AU37</f>
        <v>9.5412780842093738</v>
      </c>
      <c r="AV33" s="19">
        <f>'Quotité d''invest + fin.'!AV37</f>
        <v>14.347384836368896</v>
      </c>
      <c r="AW33" s="19">
        <f>'Quotité d''invest + fin.'!AW37</f>
        <v>4.8858879648944411</v>
      </c>
      <c r="AX33" s="19">
        <f>'Quotité d''invest + fin.'!AX37</f>
        <v>4.8595574697416852</v>
      </c>
      <c r="AY33" s="19">
        <f>'Quotité d''invest + fin.'!AY37</f>
        <v>13.756188855842369</v>
      </c>
      <c r="AZ33" s="19">
        <f>'Quotité d''invest + fin.'!AZ37</f>
        <v>17.412238997378605</v>
      </c>
      <c r="BA33" s="19">
        <f>'Quotité d''invest + fin.'!BA37</f>
        <v>3.3330783641217478</v>
      </c>
      <c r="BB33" s="19">
        <f>'Quotité d''invest + fin.'!BB37</f>
        <v>7.0188298302915069</v>
      </c>
      <c r="BC33" s="19">
        <f>'Quotité d''invest + fin.'!BC37</f>
        <v>5.2249369228768359</v>
      </c>
      <c r="BD33" s="19">
        <f>'Quotité d''invest + fin.'!BD37</f>
        <v>7.8534440073206406</v>
      </c>
      <c r="BE33" s="19">
        <f>'Quotité d''invest + fin.'!BE37</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d''autofinancement'!D13</f>
        <v>4065.5557827117036</v>
      </c>
      <c r="E35" s="19">
        <f>'Quotité d''autofinancement'!E13</f>
        <v>4574.2561619348062</v>
      </c>
      <c r="F35" s="19">
        <f>'Quotité d''autofinancement'!F13</f>
        <v>5233.6222868217064</v>
      </c>
      <c r="G35" s="19">
        <f>'Quotité d''autofinancement'!G13</f>
        <v>4904.8819320594494</v>
      </c>
      <c r="H35" s="19">
        <f>'Quotité d''autofinancement'!H13</f>
        <v>67.076643990929284</v>
      </c>
      <c r="I35" s="19">
        <f>'Quotité d''autofinancement'!I13</f>
        <v>2874.7699403147044</v>
      </c>
      <c r="J35" s="19">
        <f>'Quotité d''autofinancement'!J13</f>
        <v>5000.8258285541815</v>
      </c>
      <c r="K35" s="19">
        <f>'Quotité d''autofinancement'!K13</f>
        <v>-161.76240015071596</v>
      </c>
      <c r="L35" s="19">
        <f>'Quotité d''autofinancement'!L13</f>
        <v>8188.4824746755312</v>
      </c>
      <c r="M35" s="19">
        <f>'Quotité d''autofinancement'!M13</f>
        <v>3027.6647573529413</v>
      </c>
      <c r="N35" s="19">
        <f>'Quotité d''autofinancement'!N13</f>
        <v>6958.3086607142841</v>
      </c>
      <c r="O35" s="19">
        <f>'Quotité d''autofinancement'!O13</f>
        <v>3974.6508020221345</v>
      </c>
      <c r="P35" s="19">
        <f>'Quotité d''autofinancement'!P13</f>
        <v>2473.1489080459769</v>
      </c>
      <c r="Q35" s="19">
        <f>'Quotité d''autofinancement'!Q13</f>
        <v>-163.71839622641588</v>
      </c>
      <c r="R35" s="19">
        <f>'Quotité d''autofinancement'!R13</f>
        <v>3865.2668705882352</v>
      </c>
      <c r="S35" s="19">
        <f>'Quotité d''autofinancement'!S13</f>
        <v>4326.068885714285</v>
      </c>
      <c r="T35" s="19">
        <f>'Quotité d''autofinancement'!T13</f>
        <v>-616.25560709413287</v>
      </c>
      <c r="U35" s="19">
        <f>'Quotité d''autofinancement'!U13</f>
        <v>1659.8028148148148</v>
      </c>
      <c r="V35" s="19">
        <f>'Quotité d''autofinancement'!V13</f>
        <v>4591.3111990407679</v>
      </c>
      <c r="W35" s="19">
        <f>'Quotité d''autofinancement'!W13</f>
        <v>3479.8464048706237</v>
      </c>
      <c r="X35" s="19">
        <f>'Quotité d''autofinancement'!X13</f>
        <v>-3555.6120779220778</v>
      </c>
      <c r="Y35" s="19">
        <f>'Quotité d''autofinancement'!Y13</f>
        <v>4534.3110969793324</v>
      </c>
      <c r="Z35" s="19">
        <f>'Quotité d''autofinancement'!Z13</f>
        <v>-9006.9305511811035</v>
      </c>
      <c r="AA35" s="19">
        <f>'Quotité d''autofinancement'!AA13</f>
        <v>1031.2936781609187</v>
      </c>
      <c r="AB35" s="19">
        <f>'Quotité d''autofinancement'!AB13</f>
        <v>-1352.72314102564</v>
      </c>
      <c r="AC35" s="19">
        <f>'Quotité d''autofinancement'!AC13</f>
        <v>2798.121333333333</v>
      </c>
      <c r="AD35" s="19">
        <f>'Quotité d''autofinancement'!AD13</f>
        <v>8131.4058014184393</v>
      </c>
      <c r="AE35" s="19">
        <f>'Quotité d''autofinancement'!AE13</f>
        <v>3649.8622686025406</v>
      </c>
      <c r="AF35" s="19">
        <f>'Quotité d''autofinancement'!AF13</f>
        <v>-4436.5897455968689</v>
      </c>
      <c r="AG35" s="19">
        <f>'Quotité d''autofinancement'!AG13</f>
        <v>-1260.6260935856999</v>
      </c>
      <c r="AH35" s="19">
        <f>'Quotité d''autofinancement'!AH13</f>
        <v>2747.4647611650485</v>
      </c>
      <c r="AI35" s="19">
        <f>'Quotité d''autofinancement'!AI13</f>
        <v>-1029.706359649123</v>
      </c>
      <c r="AJ35" s="19">
        <f>'Quotité d''autofinancement'!AJ13</f>
        <v>-9989.2212711864413</v>
      </c>
      <c r="AK35" s="19">
        <f>'Quotité d''autofinancement'!AK13</f>
        <v>6186.0512274176408</v>
      </c>
      <c r="AL35" s="19">
        <f>'Quotité d''autofinancement'!AL13</f>
        <v>3308.2047127468591</v>
      </c>
      <c r="AM35" s="19">
        <f>'Quotité d''autofinancement'!AM13</f>
        <v>5351.1572144617912</v>
      </c>
      <c r="AN35" s="19">
        <f>'Quotité d''autofinancement'!AN13</f>
        <v>7536.3705982905994</v>
      </c>
      <c r="AO35" s="19">
        <f>'Quotité d''autofinancement'!AO13</f>
        <v>-4432.7544647302893</v>
      </c>
      <c r="AP35" s="19">
        <f>'Quotité d''autofinancement'!AP13</f>
        <v>3179.1610879999994</v>
      </c>
      <c r="AQ35" s="19">
        <f>'Quotité d''autofinancement'!AQ13</f>
        <v>3666.6212361331222</v>
      </c>
      <c r="AR35" s="19">
        <f>'Quotité d''autofinancement'!AR13</f>
        <v>372.4978431372549</v>
      </c>
      <c r="AS35" s="19">
        <f>'Quotité d''autofinancement'!AS13</f>
        <v>4299.2539554317555</v>
      </c>
      <c r="AT35" s="19">
        <f>'Quotité d''autofinancement'!AT13</f>
        <v>5739.3504322200397</v>
      </c>
      <c r="AU35" s="19">
        <f>'Quotité d''autofinancement'!AU13</f>
        <v>-2508.6794197952227</v>
      </c>
      <c r="AV35" s="19">
        <f>'Quotité d''autofinancement'!AV13</f>
        <v>3569.7417453798762</v>
      </c>
      <c r="AW35" s="19">
        <f>'Quotité d''autofinancement'!AW13</f>
        <v>3511.0530661577614</v>
      </c>
      <c r="AX35" s="19">
        <f>'Quotité d''autofinancement'!AX13</f>
        <v>1073.5923913043478</v>
      </c>
      <c r="AY35" s="19">
        <f>'Quotité d''autofinancement'!AY13</f>
        <v>-469.30891891891923</v>
      </c>
      <c r="AZ35" s="19">
        <f>'Quotité d''autofinancement'!AZ13</f>
        <v>9038.4535125448019</v>
      </c>
      <c r="BA35" s="19">
        <f>'Quotité d''autofinancement'!BA13</f>
        <v>131.95230179028158</v>
      </c>
      <c r="BB35" s="19">
        <f>'Quotité d''autofinancement'!BB13</f>
        <v>5467.124524714829</v>
      </c>
      <c r="BC35" s="19">
        <f>'Quotité d''autofinancement'!BC13</f>
        <v>-1836.9855376344083</v>
      </c>
      <c r="BD35" s="19">
        <f>'Quotité d''autofinancement'!BD13</f>
        <v>7005.4984086322002</v>
      </c>
      <c r="BE35" s="19">
        <f>'Quotité d''autofinancement'!BE13</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d''autofinancement'!D22</f>
        <v>8.0573059699718126</v>
      </c>
      <c r="E37" s="19">
        <f>'Quotité d''autofinancement'!E22</f>
        <v>3.0407966509345101</v>
      </c>
      <c r="F37" s="19">
        <f>'Quotité d''autofinancement'!F22</f>
        <v>-12.183150733302387</v>
      </c>
      <c r="G37" s="19">
        <f>'Quotité d''autofinancement'!G22</f>
        <v>19.170025952402607</v>
      </c>
      <c r="H37" s="19">
        <f>'Quotité d''autofinancement'!H22</f>
        <v>2.0313219790934003</v>
      </c>
      <c r="I37" s="19">
        <f>'Quotité d''autofinancement'!I22</f>
        <v>8.0951303998123496</v>
      </c>
      <c r="J37" s="19">
        <f>'Quotité d''autofinancement'!J22</f>
        <v>7.9321746910321238</v>
      </c>
      <c r="K37" s="19">
        <f>'Quotité d''autofinancement'!K22</f>
        <v>9.9945730230188303</v>
      </c>
      <c r="L37" s="19">
        <f>'Quotité d''autofinancement'!L22</f>
        <v>2.3702386781213347</v>
      </c>
      <c r="M37" s="19">
        <f>'Quotité d''autofinancement'!M22</f>
        <v>-1.2588758154834199</v>
      </c>
      <c r="N37" s="19">
        <f>'Quotité d''autofinancement'!N22</f>
        <v>16.37354316218109</v>
      </c>
      <c r="O37" s="19">
        <f>'Quotité d''autofinancement'!O22</f>
        <v>9.8008462193415742</v>
      </c>
      <c r="P37" s="19">
        <f>'Quotité d''autofinancement'!P22</f>
        <v>0.5802262393057942</v>
      </c>
      <c r="Q37" s="19">
        <f>'Quotité d''autofinancement'!Q22</f>
        <v>9.3750354860721448</v>
      </c>
      <c r="R37" s="19">
        <f>'Quotité d''autofinancement'!R22</f>
        <v>5.05434583903729</v>
      </c>
      <c r="S37" s="19">
        <f>'Quotité d''autofinancement'!S22</f>
        <v>0.18845020348629363</v>
      </c>
      <c r="T37" s="19">
        <f>'Quotité d''autofinancement'!T22</f>
        <v>9.9075050291553808</v>
      </c>
      <c r="U37" s="19">
        <f>'Quotité d''autofinancement'!U22</f>
        <v>-4.7712094980843567</v>
      </c>
      <c r="V37" s="19">
        <f>'Quotité d''autofinancement'!V22</f>
        <v>4.6636426792268741</v>
      </c>
      <c r="W37" s="19">
        <f>'Quotité d''autofinancement'!W22</f>
        <v>15.42031506423284</v>
      </c>
      <c r="X37" s="19">
        <f>'Quotité d''autofinancement'!X22</f>
        <v>5.234430222548311</v>
      </c>
      <c r="Y37" s="19">
        <f>'Quotité d''autofinancement'!Y22</f>
        <v>21.667788501275041</v>
      </c>
      <c r="Z37" s="19">
        <f>'Quotité d''autofinancement'!Z22</f>
        <v>33.86777282112444</v>
      </c>
      <c r="AA37" s="19">
        <f>'Quotité d''autofinancement'!AA22</f>
        <v>-9.6049641291264702</v>
      </c>
      <c r="AB37" s="19">
        <f>'Quotité d''autofinancement'!AB22</f>
        <v>8.1680928194760458</v>
      </c>
      <c r="AC37" s="19">
        <f>'Quotité d''autofinancement'!AC22</f>
        <v>4.3362146257838887</v>
      </c>
      <c r="AD37" s="19">
        <f>'Quotité d''autofinancement'!AD22</f>
        <v>13.40641472372652</v>
      </c>
      <c r="AE37" s="19">
        <f>'Quotité d''autofinancement'!AE22</f>
        <v>-4.63619216385709</v>
      </c>
      <c r="AF37" s="19">
        <f>'Quotité d''autofinancement'!AF22</f>
        <v>-3.8304813174237085</v>
      </c>
      <c r="AG37" s="19">
        <f>'Quotité d''autofinancement'!AG22</f>
        <v>11.630181180210785</v>
      </c>
      <c r="AH37" s="19">
        <f>'Quotité d''autofinancement'!AH22</f>
        <v>10.370444432550691</v>
      </c>
      <c r="AI37" s="19">
        <f>'Quotité d''autofinancement'!AI22</f>
        <v>13.933647652813097</v>
      </c>
      <c r="AJ37" s="19">
        <f>'Quotité d''autofinancement'!AJ22</f>
        <v>13.063969371397071</v>
      </c>
      <c r="AK37" s="19">
        <f>'Quotité d''autofinancement'!AK22</f>
        <v>16.345887786473231</v>
      </c>
      <c r="AL37" s="19">
        <f>'Quotité d''autofinancement'!AL22</f>
        <v>7.9398575288023823</v>
      </c>
      <c r="AM37" s="19">
        <f>'Quotité d''autofinancement'!AM22</f>
        <v>4.4295691149584622</v>
      </c>
      <c r="AN37" s="19">
        <f>'Quotité d''autofinancement'!AN22</f>
        <v>6.8067216968784052</v>
      </c>
      <c r="AO37" s="19">
        <f>'Quotité d''autofinancement'!AO22</f>
        <v>25.262334877633798</v>
      </c>
      <c r="AP37" s="19">
        <f>'Quotité d''autofinancement'!AP22</f>
        <v>2.2922741079788276</v>
      </c>
      <c r="AQ37" s="19">
        <f>'Quotité d''autofinancement'!AQ22</f>
        <v>-0.40795228247298865</v>
      </c>
      <c r="AR37" s="19">
        <f>'Quotité d''autofinancement'!AR22</f>
        <v>12.867216600544285</v>
      </c>
      <c r="AS37" s="19">
        <f>'Quotité d''autofinancement'!AS22</f>
        <v>11.476279212388025</v>
      </c>
      <c r="AT37" s="19">
        <f>'Quotité d''autofinancement'!AT22</f>
        <v>9.5904084123795208</v>
      </c>
      <c r="AU37" s="19">
        <f>'Quotité d''autofinancement'!AU22</f>
        <v>-12.885799330438246</v>
      </c>
      <c r="AV37" s="19">
        <f>'Quotité d''autofinancement'!AV22</f>
        <v>12.931553982741267</v>
      </c>
      <c r="AW37" s="19">
        <f>'Quotité d''autofinancement'!AW22</f>
        <v>11.305995636370103</v>
      </c>
      <c r="AX37" s="19">
        <f>'Quotité d''autofinancement'!AX22</f>
        <v>-2.1332307102690504</v>
      </c>
      <c r="AY37" s="19">
        <f>'Quotité d''autofinancement'!AY22</f>
        <v>6.6996022080777999</v>
      </c>
      <c r="AZ37" s="19">
        <f>'Quotité d''autofinancement'!AZ22</f>
        <v>8.1673514046991329</v>
      </c>
      <c r="BA37" s="19">
        <f>'Quotité d''autofinancement'!BA22</f>
        <v>2.7339168110919623</v>
      </c>
      <c r="BB37" s="19">
        <f>'Quotité d''autofinancement'!BB22</f>
        <v>13.385285072886846</v>
      </c>
      <c r="BC37" s="19">
        <f>'Quotité d''autofinancement'!BC22</f>
        <v>7.1011887111457925</v>
      </c>
      <c r="BD37" s="19">
        <f>'Quotité d''autofinancement'!BD22</f>
        <v>7.7426000857874042</v>
      </c>
      <c r="BE37" s="19">
        <f>'Quotité d''autofinancement'!BE22</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d''autofinancement'!D42</f>
        <v>-8.3284014092547889E-2</v>
      </c>
      <c r="E39" s="19">
        <f>'Quotité d''autofinancement'!E42</f>
        <v>-3.0691712607065502E-2</v>
      </c>
      <c r="F39" s="19">
        <f>'Quotité d''autofinancement'!F42</f>
        <v>18.52684261571547</v>
      </c>
      <c r="G39" s="19">
        <f>'Quotité d''autofinancement'!G42</f>
        <v>-12.58268480306597</v>
      </c>
      <c r="H39" s="19">
        <f>'Quotité d''autofinancement'!H42</f>
        <v>6.896900873150952</v>
      </c>
      <c r="I39" s="19">
        <f>'Quotité d''autofinancement'!I42</f>
        <v>-0.53065433818483498</v>
      </c>
      <c r="J39" s="19">
        <f>'Quotité d''autofinancement'!J42</f>
        <v>-7.881563381687097E-2</v>
      </c>
      <c r="K39" s="19">
        <f>'Quotité d''autofinancement'!K42</f>
        <v>0.35183059619100315</v>
      </c>
      <c r="L39" s="19">
        <f>'Quotité d''autofinancement'!L42</f>
        <v>1.0425414310839916</v>
      </c>
      <c r="M39" s="19">
        <f>'Quotité d''autofinancement'!M42</f>
        <v>-9.5700410687607179E-2</v>
      </c>
      <c r="N39" s="19">
        <f>'Quotité d''autofinancement'!N42</f>
        <v>-7.1580256987047148</v>
      </c>
      <c r="O39" s="19">
        <f>'Quotité d''autofinancement'!O42</f>
        <v>0.24299554384908176</v>
      </c>
      <c r="P39" s="19">
        <f>'Quotité d''autofinancement'!P42</f>
        <v>0.89521585009248261</v>
      </c>
      <c r="Q39" s="19">
        <f>'Quotité d''autofinancement'!Q42</f>
        <v>-1.0444596952281555</v>
      </c>
      <c r="R39" s="19">
        <f>'Quotité d''autofinancement'!R42</f>
        <v>12.248394674906171</v>
      </c>
      <c r="S39" s="19">
        <f>'Quotité d''autofinancement'!S42</f>
        <v>6.5709672576716631</v>
      </c>
      <c r="T39" s="19">
        <f>'Quotité d''autofinancement'!T42</f>
        <v>-0.41965263386556095</v>
      </c>
      <c r="U39" s="19">
        <f>'Quotité d''autofinancement'!U42</f>
        <v>1.0209443719198514</v>
      </c>
      <c r="V39" s="19">
        <f>'Quotité d''autofinancement'!V42</f>
        <v>0.80912645024958352</v>
      </c>
      <c r="W39" s="19">
        <f>'Quotité d''autofinancement'!W42</f>
        <v>-1.0028932668794555</v>
      </c>
      <c r="X39" s="19">
        <f>'Quotité d''autofinancement'!X42</f>
        <v>6.7212474002043221</v>
      </c>
      <c r="Y39" s="19">
        <f>'Quotité d''autofinancement'!Y42</f>
        <v>0.88879981546158193</v>
      </c>
      <c r="Z39" s="19">
        <f>'Quotité d''autofinancement'!Z42</f>
        <v>-0.2416370128795601</v>
      </c>
      <c r="AA39" s="19">
        <f>'Quotité d''autofinancement'!AA42</f>
        <v>-5.0185166098340801</v>
      </c>
      <c r="AB39" s="19">
        <f>'Quotité d''autofinancement'!AB42</f>
        <v>-4.7868068375962514</v>
      </c>
      <c r="AC39" s="19">
        <f>'Quotité d''autofinancement'!AC42</f>
        <v>1.8725209581339952</v>
      </c>
      <c r="AD39" s="19">
        <f>'Quotité d''autofinancement'!AD42</f>
        <v>-2.801917172079718</v>
      </c>
      <c r="AE39" s="19">
        <f>'Quotité d''autofinancement'!AE42</f>
        <v>1.3169566536910902</v>
      </c>
      <c r="AF39" s="19">
        <f>'Quotité d''autofinancement'!AF42</f>
        <v>0.78704987343433985</v>
      </c>
      <c r="AG39" s="19">
        <f>'Quotité d''autofinancement'!AG42</f>
        <v>-1.016229861899397</v>
      </c>
      <c r="AH39" s="19">
        <f>'Quotité d''autofinancement'!AH42</f>
        <v>0.73005306201608366</v>
      </c>
      <c r="AI39" s="19">
        <f>'Quotité d''autofinancement'!AI42</f>
        <v>0</v>
      </c>
      <c r="AJ39" s="19">
        <f>'Quotité d''autofinancement'!AJ42</f>
        <v>-56.561695321638325</v>
      </c>
      <c r="AK39" s="19">
        <f>'Quotité d''autofinancement'!AK42</f>
        <v>2.0867952028254999</v>
      </c>
      <c r="AL39" s="19">
        <f>'Quotité d''autofinancement'!AL42</f>
        <v>-1.5757603479775026</v>
      </c>
      <c r="AM39" s="19">
        <f>'Quotité d''autofinancement'!AM42</f>
        <v>1.2447147520176456</v>
      </c>
      <c r="AN39" s="19">
        <f>'Quotité d''autofinancement'!AN42</f>
        <v>1.7702364258550745</v>
      </c>
      <c r="AO39" s="19">
        <f>'Quotité d''autofinancement'!AO42</f>
        <v>-0.28568049199370787</v>
      </c>
      <c r="AP39" s="19">
        <f>'Quotité d''autofinancement'!AP42</f>
        <v>0.87685096053735778</v>
      </c>
      <c r="AQ39" s="19">
        <f>'Quotité d''autofinancement'!AQ42</f>
        <v>0.76919979773793323</v>
      </c>
      <c r="AR39" s="19">
        <f>'Quotité d''autofinancement'!AR42</f>
        <v>-7.1627972657625234</v>
      </c>
      <c r="AS39" s="19">
        <f>'Quotité d''autofinancement'!AS42</f>
        <v>0.87699543282134285</v>
      </c>
      <c r="AT39" s="19">
        <f>'Quotité d''autofinancement'!AT42</f>
        <v>1.9551343914483506</v>
      </c>
      <c r="AU39" s="19">
        <f>'Quotité d''autofinancement'!AU42</f>
        <v>-2.1164015496077089</v>
      </c>
      <c r="AV39" s="19">
        <f>'Quotité d''autofinancement'!AV42</f>
        <v>1.6706922620508342</v>
      </c>
      <c r="AW39" s="19">
        <f>'Quotité d''autofinancement'!AW42</f>
        <v>0.91209529828917657</v>
      </c>
      <c r="AX39" s="19">
        <f>'Quotité d''autofinancement'!AX42</f>
        <v>-1.8467106167817973</v>
      </c>
      <c r="AY39" s="19">
        <f>'Quotité d''autofinancement'!AY42</f>
        <v>-4.2431529915268431</v>
      </c>
      <c r="AZ39" s="19">
        <f>'Quotité d''autofinancement'!AZ42</f>
        <v>3.1907364108223515</v>
      </c>
      <c r="BA39" s="19">
        <f>'Quotité d''autofinancement'!BA42</f>
        <v>-2.519050995113008</v>
      </c>
      <c r="BB39" s="19">
        <f>'Quotité d''autofinancement'!BB42</f>
        <v>-1.7561512145300793</v>
      </c>
      <c r="BC39" s="19">
        <f>'Quotité d''autofinancement'!BC42</f>
        <v>-12.424668406785099</v>
      </c>
      <c r="BD39" s="19">
        <f>'Quotité d''autofinancement'!BD42</f>
        <v>-2.6413132406001809</v>
      </c>
      <c r="BE39" s="19">
        <f>'Quotité d''autofinancement'!BE42</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BD45" sqref="BD45"/>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19"/>
      <c r="B1" s="219"/>
      <c r="C1" s="219"/>
      <c r="D1" s="219"/>
    </row>
    <row r="2" spans="1:8" ht="18" x14ac:dyDescent="0.25">
      <c r="A2" s="226" t="s">
        <v>830</v>
      </c>
      <c r="B2" s="226"/>
      <c r="C2" s="226"/>
      <c r="D2" s="226"/>
      <c r="E2" s="219"/>
      <c r="F2" s="219"/>
      <c r="G2" s="219"/>
      <c r="H2" s="219"/>
    </row>
    <row r="3" spans="1:8" ht="18" x14ac:dyDescent="0.25">
      <c r="A3" s="193"/>
      <c r="B3" s="193"/>
      <c r="C3" s="193"/>
      <c r="D3" s="193"/>
      <c r="E3" s="193"/>
      <c r="F3" s="193"/>
      <c r="G3" s="193"/>
      <c r="H3" s="193"/>
    </row>
    <row r="4" spans="1:8" ht="15" thickBot="1" x14ac:dyDescent="0.25">
      <c r="B4" s="227" t="s">
        <v>781</v>
      </c>
      <c r="C4" s="227"/>
      <c r="D4" s="227"/>
    </row>
    <row r="5" spans="1:8" ht="15.75" thickBot="1" x14ac:dyDescent="0.3">
      <c r="A5" s="32" t="s">
        <v>569</v>
      </c>
      <c r="B5" s="212" t="s">
        <v>49</v>
      </c>
      <c r="C5" s="213"/>
      <c r="D5" s="214"/>
      <c r="F5" s="158"/>
    </row>
    <row r="6" spans="1:8" ht="15.75" thickBot="1" x14ac:dyDescent="0.3">
      <c r="E6" s="7"/>
      <c r="H6" s="165"/>
    </row>
    <row r="7" spans="1:8" ht="15.75" thickBot="1" x14ac:dyDescent="0.3">
      <c r="A7" s="223" t="s">
        <v>562</v>
      </c>
      <c r="B7" s="224"/>
      <c r="C7" s="224"/>
      <c r="D7" s="225"/>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849</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850</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BD45" sqref="BD45"/>
      <selection pane="topRight" activeCell="BD45" sqref="BD45"/>
      <selection pane="bottomLeft" activeCell="BD45" sqref="BD45"/>
      <selection pane="bottomRight" activeCell="BD45" sqref="BD45"/>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826</v>
      </c>
      <c r="B2" s="7"/>
      <c r="C2" s="7"/>
      <c r="D2" s="7"/>
    </row>
    <row r="3" spans="1:19" ht="20.25" x14ac:dyDescent="0.3">
      <c r="A3" s="198" t="s">
        <v>730</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734</v>
      </c>
      <c r="I4" s="94" t="s">
        <v>33</v>
      </c>
      <c r="J4" s="94" t="s">
        <v>28</v>
      </c>
      <c r="K4" s="94" t="s">
        <v>735</v>
      </c>
      <c r="L4" s="94" t="s">
        <v>16</v>
      </c>
      <c r="M4" s="94" t="s">
        <v>736</v>
      </c>
      <c r="N4" s="94" t="s">
        <v>737</v>
      </c>
      <c r="O4" s="94" t="s">
        <v>59</v>
      </c>
      <c r="P4" s="94" t="s">
        <v>738</v>
      </c>
      <c r="Q4" s="94" t="s">
        <v>739</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840</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BD45" sqref="BD45"/>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826</v>
      </c>
      <c r="B2" s="7"/>
      <c r="C2" s="7"/>
      <c r="D2" s="7"/>
    </row>
    <row r="4" spans="1:5" ht="15" thickBot="1" x14ac:dyDescent="0.25"/>
    <row r="5" spans="1:5" ht="15.75" thickBot="1" x14ac:dyDescent="0.3">
      <c r="A5" s="8" t="s">
        <v>733</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840</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826</v>
      </c>
      <c r="B2" s="7"/>
      <c r="C2" s="7"/>
      <c r="D2" s="7"/>
    </row>
    <row r="3" spans="1:61" x14ac:dyDescent="0.2">
      <c r="A3" s="8" t="s">
        <v>780</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840</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729</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BD45" sqref="BD45"/>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827</v>
      </c>
    </row>
    <row r="4" spans="1:3" ht="15" x14ac:dyDescent="0.25">
      <c r="A4" s="7" t="s">
        <v>740</v>
      </c>
    </row>
    <row r="6" spans="1:3" ht="15" x14ac:dyDescent="0.25">
      <c r="A6" s="100" t="s">
        <v>215</v>
      </c>
      <c r="B6" s="100" t="s">
        <v>200</v>
      </c>
      <c r="C6" s="100" t="s">
        <v>851</v>
      </c>
    </row>
    <row r="7" spans="1:3" x14ac:dyDescent="0.2">
      <c r="A7" s="101">
        <v>90</v>
      </c>
      <c r="B7" s="102" t="s">
        <v>782</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BD45" sqref="BD45"/>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859</v>
      </c>
    </row>
    <row r="5" spans="1:3" ht="15" thickBot="1" x14ac:dyDescent="0.25">
      <c r="B5" s="8" t="s">
        <v>742</v>
      </c>
    </row>
    <row r="6" spans="1:3" ht="15.75" thickBot="1" x14ac:dyDescent="0.3">
      <c r="B6" s="96" t="s">
        <v>739</v>
      </c>
    </row>
    <row r="9" spans="1:3" ht="15" x14ac:dyDescent="0.25">
      <c r="A9" s="100" t="s">
        <v>215</v>
      </c>
      <c r="B9" s="100" t="s">
        <v>200</v>
      </c>
      <c r="C9" s="100" t="s">
        <v>851</v>
      </c>
    </row>
    <row r="10" spans="1:3" x14ac:dyDescent="0.2">
      <c r="A10" s="101">
        <v>90</v>
      </c>
      <c r="B10" s="102" t="s">
        <v>782</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D45" sqref="BD45"/>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824</v>
      </c>
    </row>
    <row r="5" spans="1:3" ht="15" x14ac:dyDescent="0.25">
      <c r="A5" s="7" t="s">
        <v>740</v>
      </c>
    </row>
    <row r="6" spans="1:3" ht="15" x14ac:dyDescent="0.25">
      <c r="A6" s="7" t="s">
        <v>852</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BD45" sqref="BD45"/>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824</v>
      </c>
    </row>
    <row r="5" spans="1:3" ht="15" thickBot="1" x14ac:dyDescent="0.25">
      <c r="B5" s="8" t="s">
        <v>742</v>
      </c>
    </row>
    <row r="6" spans="1:3" ht="15.75" thickBot="1" x14ac:dyDescent="0.3">
      <c r="B6" s="96" t="s">
        <v>739</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BD45" sqref="BD45"/>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741</v>
      </c>
    </row>
    <row r="6" spans="1:4" ht="15" x14ac:dyDescent="0.25">
      <c r="A6" s="7" t="s">
        <v>853</v>
      </c>
    </row>
    <row r="8" spans="1:4" ht="15" x14ac:dyDescent="0.25">
      <c r="A8" s="100" t="s">
        <v>222</v>
      </c>
      <c r="B8" s="100"/>
      <c r="C8" s="100" t="s">
        <v>200</v>
      </c>
      <c r="D8" s="100" t="s">
        <v>201</v>
      </c>
    </row>
    <row r="9" spans="1:4" x14ac:dyDescent="0.2">
      <c r="A9" s="102">
        <v>90</v>
      </c>
      <c r="B9" s="106"/>
      <c r="C9" s="102" t="s">
        <v>783</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BD45" sqref="BD45"/>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784</v>
      </c>
    </row>
    <row r="5" spans="1:5" ht="15" thickBot="1" x14ac:dyDescent="0.25">
      <c r="B5" s="8" t="s">
        <v>742</v>
      </c>
    </row>
    <row r="6" spans="1:5" ht="15.75" thickBot="1" x14ac:dyDescent="0.3">
      <c r="B6" s="212" t="s">
        <v>739</v>
      </c>
      <c r="C6" s="213"/>
      <c r="D6" s="214"/>
    </row>
    <row r="8" spans="1:5" ht="15" x14ac:dyDescent="0.25">
      <c r="B8" s="100" t="s">
        <v>222</v>
      </c>
      <c r="C8" s="100"/>
      <c r="D8" s="100" t="s">
        <v>200</v>
      </c>
      <c r="E8" s="100" t="s">
        <v>201</v>
      </c>
    </row>
    <row r="9" spans="1:5" x14ac:dyDescent="0.2">
      <c r="B9" s="102">
        <v>90</v>
      </c>
      <c r="C9" s="106"/>
      <c r="D9" s="102" t="s">
        <v>783</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BD45" sqref="BD45"/>
      <selection pane="topRight" activeCell="BD45" sqref="BD45"/>
      <selection pane="bottomLeft" activeCell="BD45" sqref="BD45"/>
      <selection pane="bottomRight" activeCell="BD45" sqref="BD45"/>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823</v>
      </c>
      <c r="B2" s="7"/>
      <c r="C2" s="7"/>
      <c r="D2" s="7"/>
      <c r="E2" s="16"/>
    </row>
    <row r="3" spans="1:20" ht="18" x14ac:dyDescent="0.25">
      <c r="A3" s="199" t="s">
        <v>730</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734</v>
      </c>
      <c r="J4" s="94" t="s">
        <v>33</v>
      </c>
      <c r="K4" s="94" t="s">
        <v>28</v>
      </c>
      <c r="L4" s="94" t="s">
        <v>735</v>
      </c>
      <c r="M4" s="94" t="s">
        <v>16</v>
      </c>
      <c r="N4" s="94" t="s">
        <v>736</v>
      </c>
      <c r="O4" s="94" t="s">
        <v>737</v>
      </c>
      <c r="P4" s="94" t="s">
        <v>59</v>
      </c>
      <c r="Q4" s="94" t="s">
        <v>738</v>
      </c>
      <c r="R4" s="94" t="s">
        <v>739</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841</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BD45" sqref="BD45"/>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858</v>
      </c>
      <c r="B2" s="7"/>
      <c r="C2" s="7"/>
      <c r="D2" s="7"/>
      <c r="E2" s="16"/>
    </row>
    <row r="4" spans="1:6" ht="15" thickBot="1" x14ac:dyDescent="0.25"/>
    <row r="5" spans="1:6" ht="15.75" thickBot="1" x14ac:dyDescent="0.3">
      <c r="A5" s="8" t="s">
        <v>733</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841</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BD45" sqref="BD45"/>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821</v>
      </c>
      <c r="B2" s="7"/>
    </row>
    <row r="3" spans="1:16" ht="15" customHeight="1" x14ac:dyDescent="0.25">
      <c r="A3" s="137" t="s">
        <v>740</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734</v>
      </c>
      <c r="G7" s="94" t="s">
        <v>33</v>
      </c>
      <c r="H7" s="94" t="s">
        <v>28</v>
      </c>
      <c r="I7" s="94" t="s">
        <v>735</v>
      </c>
      <c r="J7" s="94" t="s">
        <v>16</v>
      </c>
      <c r="K7" s="94" t="s">
        <v>736</v>
      </c>
      <c r="L7" s="94" t="s">
        <v>737</v>
      </c>
      <c r="M7" s="94" t="s">
        <v>59</v>
      </c>
      <c r="N7" s="94" t="s">
        <v>738</v>
      </c>
      <c r="O7" s="94" t="s">
        <v>739</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D45" sqref="BD45"/>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829</v>
      </c>
      <c r="B2" s="7"/>
    </row>
    <row r="3" spans="1:3" ht="15" customHeight="1" x14ac:dyDescent="0.4">
      <c r="A3" s="6"/>
      <c r="B3" s="7"/>
    </row>
    <row r="4" spans="1:3" ht="15" customHeight="1" thickBot="1" x14ac:dyDescent="0.3">
      <c r="A4" s="7"/>
      <c r="B4" s="32" t="s">
        <v>742</v>
      </c>
    </row>
    <row r="5" spans="1:3" ht="15" customHeight="1" thickBot="1" x14ac:dyDescent="0.45">
      <c r="A5" s="6"/>
      <c r="B5" s="143" t="s">
        <v>739</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746</v>
      </c>
      <c r="B5" s="13">
        <f>'4.1 Comptes 2022 natures'!BF6</f>
        <v>72750465.75</v>
      </c>
    </row>
    <row r="6" spans="1:2" ht="15" x14ac:dyDescent="0.25">
      <c r="A6" s="16" t="s">
        <v>747</v>
      </c>
      <c r="B6" s="13">
        <f>'4.1 Comptes 2022 natures'!BF16</f>
        <v>86997834.980000004</v>
      </c>
    </row>
    <row r="7" spans="1:2" ht="15" x14ac:dyDescent="0.25">
      <c r="A7" s="16" t="s">
        <v>748</v>
      </c>
      <c r="B7" s="13">
        <f>'4.1 Comptes 2022 natures'!BF28</f>
        <v>25063351.139999997</v>
      </c>
    </row>
    <row r="8" spans="1:2" ht="15" x14ac:dyDescent="0.25">
      <c r="A8" s="16" t="s">
        <v>749</v>
      </c>
      <c r="B8" s="13">
        <f>'4.1 Comptes 2022 natures'!BF32</f>
        <v>8237138.9299999978</v>
      </c>
    </row>
    <row r="9" spans="1:2" ht="15" x14ac:dyDescent="0.25">
      <c r="A9" s="16" t="s">
        <v>750</v>
      </c>
      <c r="B9" s="13">
        <f>'4.1 Comptes 2022 natures'!BF40</f>
        <v>2809245.6700000009</v>
      </c>
    </row>
    <row r="10" spans="1:2" ht="15" x14ac:dyDescent="0.25">
      <c r="A10" s="16" t="s">
        <v>751</v>
      </c>
      <c r="B10" s="13">
        <f>'4.1 Comptes 2022 natures'!BF44</f>
        <v>196494126.72999996</v>
      </c>
    </row>
    <row r="11" spans="1:2" ht="15" x14ac:dyDescent="0.25">
      <c r="A11" s="16" t="s">
        <v>752</v>
      </c>
      <c r="B11" s="13">
        <f>'4.1 Comptes 2022 natures'!BF54</f>
        <v>2688304.3000000003</v>
      </c>
    </row>
    <row r="12" spans="1:2" ht="15" x14ac:dyDescent="0.25">
      <c r="A12" s="16" t="s">
        <v>753</v>
      </c>
      <c r="B12" s="13">
        <f>'4.1 Comptes 2022 natures'!BF57</f>
        <v>6661203.8000000007</v>
      </c>
    </row>
    <row r="13" spans="1:2" ht="15" x14ac:dyDescent="0.25">
      <c r="A13" s="16" t="s">
        <v>754</v>
      </c>
      <c r="B13" s="13">
        <f>'4.1 Comptes 2022 natures'!BF65</f>
        <v>6706821.9000000004</v>
      </c>
    </row>
    <row r="14" spans="1:2" x14ac:dyDescent="0.2">
      <c r="A14" s="17"/>
      <c r="B14" s="13"/>
    </row>
    <row r="15" spans="1:2" ht="20.25" x14ac:dyDescent="0.3">
      <c r="A15" s="92" t="s">
        <v>136</v>
      </c>
      <c r="B15" s="13"/>
    </row>
    <row r="16" spans="1:2" ht="15" x14ac:dyDescent="0.25">
      <c r="A16" s="16" t="s">
        <v>755</v>
      </c>
      <c r="B16" s="13">
        <f>'4.1 Comptes 2022 natures'!BF77</f>
        <v>224239356.33000001</v>
      </c>
    </row>
    <row r="17" spans="1:2" ht="15" x14ac:dyDescent="0.25">
      <c r="A17" s="16" t="s">
        <v>756</v>
      </c>
      <c r="B17" s="13">
        <f>'4.1 Comptes 2022 natures'!BF83</f>
        <v>1218755.5599999998</v>
      </c>
    </row>
    <row r="18" spans="1:2" ht="15" x14ac:dyDescent="0.25">
      <c r="A18" s="16" t="s">
        <v>757</v>
      </c>
      <c r="B18" s="13">
        <f>'4.1 Comptes 2022 natures'!BF89</f>
        <v>90551826.059999987</v>
      </c>
    </row>
    <row r="19" spans="1:2" ht="15" x14ac:dyDescent="0.25">
      <c r="A19" s="16" t="s">
        <v>758</v>
      </c>
      <c r="B19" s="13">
        <f>'4.1 Comptes 2022 natures'!BF100</f>
        <v>2316555.17</v>
      </c>
    </row>
    <row r="20" spans="1:2" ht="15" x14ac:dyDescent="0.25">
      <c r="A20" s="16" t="s">
        <v>759</v>
      </c>
      <c r="B20" s="13">
        <f>'4.1 Comptes 2022 natures'!BF106</f>
        <v>14057802.459999997</v>
      </c>
    </row>
    <row r="21" spans="1:2" ht="15" x14ac:dyDescent="0.25">
      <c r="A21" s="16" t="s">
        <v>760</v>
      </c>
      <c r="B21" s="13">
        <f>'4.1 Comptes 2022 natures'!BF118</f>
        <v>4005363.81</v>
      </c>
    </row>
    <row r="22" spans="1:2" ht="15" x14ac:dyDescent="0.25">
      <c r="A22" s="16" t="s">
        <v>761</v>
      </c>
      <c r="B22" s="13">
        <f>'4.1 Comptes 2022 natures'!BF122</f>
        <v>66093642.559999995</v>
      </c>
    </row>
    <row r="23" spans="1:2" ht="15" x14ac:dyDescent="0.25">
      <c r="A23" s="16" t="s">
        <v>762</v>
      </c>
      <c r="B23" s="13">
        <f>'4.1 Comptes 2022 natures'!BF129</f>
        <v>2342384.3000000003</v>
      </c>
    </row>
    <row r="24" spans="1:2" ht="15" x14ac:dyDescent="0.25">
      <c r="A24" s="16" t="s">
        <v>763</v>
      </c>
      <c r="B24" s="13">
        <f>'4.1 Comptes 2022 natures'!BF132</f>
        <v>4457240.22</v>
      </c>
    </row>
    <row r="25" spans="1:2" ht="15" x14ac:dyDescent="0.25">
      <c r="A25" s="16" t="s">
        <v>764</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BD45" sqref="BD45"/>
      <selection pane="topRight" activeCell="BD45" sqref="BD45"/>
      <selection pane="bottomLeft" activeCell="BD45" sqref="BD45"/>
      <selection pane="bottomRight" activeCell="BD45" sqref="BD45"/>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828</v>
      </c>
      <c r="B2" s="7"/>
      <c r="C2" s="7"/>
      <c r="D2" s="7"/>
    </row>
    <row r="3" spans="1:19" ht="18" x14ac:dyDescent="0.25">
      <c r="A3" s="199" t="s">
        <v>730</v>
      </c>
      <c r="E3" s="179"/>
      <c r="F3" s="179"/>
      <c r="G3" s="179"/>
      <c r="H3" s="179"/>
      <c r="I3" s="179"/>
      <c r="J3" s="179"/>
      <c r="K3" s="179"/>
      <c r="L3" s="179"/>
      <c r="M3" s="179"/>
      <c r="N3" s="179"/>
      <c r="O3" s="179"/>
      <c r="P3" s="179"/>
      <c r="Q3" s="179"/>
      <c r="R3" s="179"/>
    </row>
    <row r="4" spans="1:19" x14ac:dyDescent="0.2">
      <c r="E4" s="94" t="s">
        <v>56</v>
      </c>
      <c r="F4" s="94" t="s">
        <v>18</v>
      </c>
      <c r="G4" s="94" t="s">
        <v>57</v>
      </c>
      <c r="H4" s="94" t="s">
        <v>734</v>
      </c>
      <c r="I4" s="94" t="s">
        <v>33</v>
      </c>
      <c r="J4" s="94" t="s">
        <v>28</v>
      </c>
      <c r="K4" s="94" t="s">
        <v>735</v>
      </c>
      <c r="L4" s="94" t="s">
        <v>16</v>
      </c>
      <c r="M4" s="94" t="s">
        <v>736</v>
      </c>
      <c r="N4" s="94" t="s">
        <v>737</v>
      </c>
      <c r="O4" s="94" t="s">
        <v>59</v>
      </c>
      <c r="P4" s="94" t="s">
        <v>738</v>
      </c>
      <c r="Q4" s="94" t="s">
        <v>739</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727</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BD45" sqref="BD45"/>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857</v>
      </c>
      <c r="B2" s="7"/>
      <c r="C2" s="7"/>
      <c r="D2" s="7"/>
    </row>
    <row r="4" spans="1:5" ht="15" thickBot="1" x14ac:dyDescent="0.25"/>
    <row r="5" spans="1:5" ht="15.75" thickBot="1" x14ac:dyDescent="0.3">
      <c r="A5" s="8" t="s">
        <v>733</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BD45" sqref="BD45"/>
      <selection pane="topRight" activeCell="BD45" sqref="BD45"/>
      <selection pane="bottomLeft" activeCell="BD45" sqref="BD45"/>
      <selection pane="bottomRight" activeCell="BD45" sqref="BD45"/>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826</v>
      </c>
      <c r="B2" s="7"/>
      <c r="C2" s="7"/>
      <c r="D2" s="7"/>
    </row>
    <row r="3" spans="1:33" ht="20.25" x14ac:dyDescent="0.3">
      <c r="A3" s="198" t="s">
        <v>731</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785</v>
      </c>
      <c r="F4" s="94" t="s">
        <v>786</v>
      </c>
      <c r="G4" s="94" t="s">
        <v>787</v>
      </c>
      <c r="H4" s="94" t="s">
        <v>788</v>
      </c>
      <c r="I4" s="94" t="s">
        <v>789</v>
      </c>
      <c r="J4" s="94" t="s">
        <v>790</v>
      </c>
      <c r="K4" s="94" t="s">
        <v>791</v>
      </c>
      <c r="L4" s="94" t="s">
        <v>814</v>
      </c>
      <c r="M4" s="94" t="s">
        <v>792</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840</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BD45" sqref="BD45"/>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826</v>
      </c>
      <c r="B2" s="7"/>
      <c r="C2" s="7"/>
      <c r="D2" s="7"/>
    </row>
    <row r="4" spans="1:5" ht="15" thickBot="1" x14ac:dyDescent="0.25"/>
    <row r="5" spans="1:5" ht="15.75" thickBot="1" x14ac:dyDescent="0.3">
      <c r="A5" s="8" t="s">
        <v>732</v>
      </c>
      <c r="D5" s="96" t="s">
        <v>806</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840</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BD45" sqref="BD45"/>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827</v>
      </c>
    </row>
    <row r="4" spans="1:3" ht="15" x14ac:dyDescent="0.25">
      <c r="A4" s="7" t="s">
        <v>811</v>
      </c>
    </row>
    <row r="6" spans="1:3" ht="15" x14ac:dyDescent="0.25">
      <c r="A6" s="100" t="s">
        <v>215</v>
      </c>
      <c r="B6" s="100" t="s">
        <v>200</v>
      </c>
      <c r="C6" s="100" t="s">
        <v>851</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BD45" sqref="BD45"/>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825</v>
      </c>
    </row>
    <row r="5" spans="1:3" ht="15" thickBot="1" x14ac:dyDescent="0.25">
      <c r="B5" s="8" t="s">
        <v>812</v>
      </c>
    </row>
    <row r="6" spans="1:3" ht="15.75" thickBot="1" x14ac:dyDescent="0.3">
      <c r="B6" s="96" t="s">
        <v>806</v>
      </c>
    </row>
    <row r="9" spans="1:3" ht="15" x14ac:dyDescent="0.25">
      <c r="A9" s="100" t="s">
        <v>215</v>
      </c>
      <c r="B9" s="100" t="s">
        <v>200</v>
      </c>
      <c r="C9" s="100" t="s">
        <v>851</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BD45" sqref="BD45"/>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824</v>
      </c>
    </row>
    <row r="5" spans="1:3" ht="15" x14ac:dyDescent="0.25">
      <c r="A5" s="7" t="s">
        <v>811</v>
      </c>
    </row>
    <row r="6" spans="1:3" ht="15" x14ac:dyDescent="0.25">
      <c r="A6" s="7" t="s">
        <v>852</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BD45" sqref="BD45"/>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824</v>
      </c>
    </row>
    <row r="5" spans="1:3" ht="15" thickBot="1" x14ac:dyDescent="0.25">
      <c r="B5" s="8" t="s">
        <v>812</v>
      </c>
    </row>
    <row r="6" spans="1:3" ht="15.75" thickBot="1" x14ac:dyDescent="0.3">
      <c r="B6" s="96" t="s">
        <v>806</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BD45" sqref="BD45"/>
      <selection pane="topRight" activeCell="BD45" sqref="BD45"/>
      <selection pane="bottomLeft" activeCell="BD45" sqref="BD45"/>
      <selection pane="bottomRight" activeCell="BD45" sqref="BD45"/>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823</v>
      </c>
      <c r="B2" s="7"/>
      <c r="C2" s="7"/>
      <c r="D2" s="7"/>
      <c r="E2" s="16"/>
    </row>
    <row r="3" spans="1:34" ht="18" x14ac:dyDescent="0.25">
      <c r="A3" s="199" t="s">
        <v>731</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785</v>
      </c>
      <c r="G4" s="94" t="s">
        <v>786</v>
      </c>
      <c r="H4" s="94" t="s">
        <v>787</v>
      </c>
      <c r="I4" s="94" t="s">
        <v>788</v>
      </c>
      <c r="J4" s="94" t="s">
        <v>789</v>
      </c>
      <c r="K4" s="94" t="s">
        <v>790</v>
      </c>
      <c r="L4" s="94" t="s">
        <v>791</v>
      </c>
      <c r="M4" s="94" t="s">
        <v>814</v>
      </c>
      <c r="N4" s="94" t="s">
        <v>792</v>
      </c>
      <c r="O4" s="94" t="s">
        <v>793</v>
      </c>
      <c r="P4" s="94" t="s">
        <v>794</v>
      </c>
      <c r="Q4" s="94" t="s">
        <v>795</v>
      </c>
      <c r="R4" s="94" t="s">
        <v>796</v>
      </c>
      <c r="S4" s="94" t="s">
        <v>797</v>
      </c>
      <c r="T4" s="94" t="s">
        <v>798</v>
      </c>
      <c r="U4" s="94" t="s">
        <v>799</v>
      </c>
      <c r="V4" s="94" t="s">
        <v>800</v>
      </c>
      <c r="W4" s="94" t="s">
        <v>801</v>
      </c>
      <c r="X4" s="94" t="s">
        <v>802</v>
      </c>
      <c r="Y4" s="94" t="s">
        <v>803</v>
      </c>
      <c r="Z4" s="94" t="s">
        <v>804</v>
      </c>
      <c r="AA4" s="94" t="s">
        <v>805</v>
      </c>
      <c r="AB4" s="94" t="s">
        <v>806</v>
      </c>
      <c r="AC4" s="94" t="s">
        <v>807</v>
      </c>
      <c r="AD4" s="94" t="s">
        <v>808</v>
      </c>
      <c r="AE4" s="94" t="s">
        <v>809</v>
      </c>
      <c r="AF4" s="94" t="s">
        <v>810</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815</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841</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816</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817</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818</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BD45" sqref="BD45"/>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822</v>
      </c>
      <c r="B2" s="7"/>
      <c r="C2" s="7"/>
      <c r="D2" s="7"/>
      <c r="E2" s="16"/>
    </row>
    <row r="4" spans="1:6" ht="15" thickBot="1" x14ac:dyDescent="0.25">
      <c r="E4" s="8" t="s">
        <v>812</v>
      </c>
    </row>
    <row r="5" spans="1:6" ht="15.75" thickBot="1" x14ac:dyDescent="0.3">
      <c r="A5" s="8" t="s">
        <v>813</v>
      </c>
      <c r="E5" s="96" t="s">
        <v>793</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841</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743</v>
      </c>
      <c r="B1" s="93"/>
      <c r="C1" s="93"/>
    </row>
    <row r="2" spans="1:7" ht="15.75" x14ac:dyDescent="0.25">
      <c r="A2" s="93"/>
      <c r="B2" s="93"/>
      <c r="C2" s="93"/>
    </row>
    <row r="3" spans="1:7" ht="15.75" x14ac:dyDescent="0.25">
      <c r="A3" s="203" t="s">
        <v>67</v>
      </c>
      <c r="B3" s="33" t="s">
        <v>865</v>
      </c>
      <c r="C3" s="33" t="s">
        <v>866</v>
      </c>
      <c r="D3" s="33" t="s">
        <v>197</v>
      </c>
      <c r="E3" s="33" t="s">
        <v>869</v>
      </c>
      <c r="F3" s="33" t="s">
        <v>864</v>
      </c>
      <c r="G3" s="33" t="s">
        <v>867</v>
      </c>
    </row>
    <row r="4" spans="1:7" ht="15" x14ac:dyDescent="0.25">
      <c r="A4" s="7"/>
      <c r="B4" s="32" t="s">
        <v>861</v>
      </c>
      <c r="C4" s="32" t="s">
        <v>862</v>
      </c>
      <c r="D4" s="32" t="s">
        <v>744</v>
      </c>
      <c r="E4" s="32" t="s">
        <v>745</v>
      </c>
      <c r="F4" s="32" t="s">
        <v>863</v>
      </c>
      <c r="G4" s="32" t="s">
        <v>868</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BD45" sqref="BD45"/>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821</v>
      </c>
      <c r="B2" s="7"/>
    </row>
    <row r="3" spans="1:30" ht="15" customHeight="1" x14ac:dyDescent="0.25">
      <c r="A3" s="137" t="s">
        <v>811</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785</v>
      </c>
      <c r="D7" s="94" t="s">
        <v>786</v>
      </c>
      <c r="E7" s="94" t="s">
        <v>787</v>
      </c>
      <c r="F7" s="94" t="s">
        <v>788</v>
      </c>
      <c r="G7" s="94" t="s">
        <v>789</v>
      </c>
      <c r="H7" s="94" t="s">
        <v>790</v>
      </c>
      <c r="I7" s="94" t="s">
        <v>791</v>
      </c>
      <c r="J7" s="94" t="s">
        <v>814</v>
      </c>
      <c r="K7" s="94" t="s">
        <v>792</v>
      </c>
      <c r="L7" s="94" t="s">
        <v>793</v>
      </c>
      <c r="M7" s="94" t="s">
        <v>794</v>
      </c>
      <c r="N7" s="94" t="s">
        <v>795</v>
      </c>
      <c r="O7" s="94" t="s">
        <v>796</v>
      </c>
      <c r="P7" s="94" t="s">
        <v>797</v>
      </c>
      <c r="Q7" s="94" t="s">
        <v>798</v>
      </c>
      <c r="R7" s="94" t="s">
        <v>799</v>
      </c>
      <c r="S7" s="94" t="s">
        <v>800</v>
      </c>
      <c r="T7" s="94" t="s">
        <v>801</v>
      </c>
      <c r="U7" s="94" t="s">
        <v>802</v>
      </c>
      <c r="V7" s="94" t="s">
        <v>803</v>
      </c>
      <c r="W7" s="94" t="s">
        <v>804</v>
      </c>
      <c r="X7" s="94" t="s">
        <v>805</v>
      </c>
      <c r="Y7" s="94" t="s">
        <v>806</v>
      </c>
      <c r="Z7" s="94" t="s">
        <v>807</v>
      </c>
      <c r="AA7" s="94" t="s">
        <v>808</v>
      </c>
      <c r="AB7" s="94" t="s">
        <v>809</v>
      </c>
      <c r="AC7" s="94" t="s">
        <v>810</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BD45" sqref="BD45"/>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820</v>
      </c>
      <c r="B2" s="7"/>
    </row>
    <row r="3" spans="1:3" ht="15" customHeight="1" x14ac:dyDescent="0.4">
      <c r="A3" s="6"/>
      <c r="B3" s="7"/>
    </row>
    <row r="4" spans="1:3" ht="15" customHeight="1" thickBot="1" x14ac:dyDescent="0.3">
      <c r="A4" s="7"/>
      <c r="B4" s="8" t="s">
        <v>812</v>
      </c>
    </row>
    <row r="5" spans="1:3" ht="15" customHeight="1" thickBot="1" x14ac:dyDescent="0.45">
      <c r="A5" s="6"/>
      <c r="B5" s="143" t="s">
        <v>806</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826</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840</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826</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840</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839</v>
      </c>
      <c r="B2" s="7"/>
      <c r="C2" s="7"/>
      <c r="D2" s="7"/>
    </row>
    <row r="4" spans="1:5" ht="15" thickBot="1" x14ac:dyDescent="0.25"/>
    <row r="5" spans="1:5" ht="15.75" thickBot="1" x14ac:dyDescent="0.3">
      <c r="A5" s="8" t="s">
        <v>627</v>
      </c>
      <c r="D5" s="96" t="s">
        <v>47</v>
      </c>
    </row>
    <row r="7" spans="1:5" ht="15" x14ac:dyDescent="0.25">
      <c r="E7" s="33" t="s">
        <v>201</v>
      </c>
    </row>
    <row r="8" spans="1:5" ht="20.25" x14ac:dyDescent="0.3">
      <c r="A8" s="11">
        <v>3</v>
      </c>
      <c r="B8" s="11"/>
      <c r="C8" s="11"/>
      <c r="D8" s="11" t="s">
        <v>60</v>
      </c>
      <c r="E8" s="97">
        <f>HLOOKUP($D$5,'4.9 Comptes 2022 par habitant'!$E$4:$BE$159,2,0)</f>
        <v>3797.0064705882351</v>
      </c>
    </row>
    <row r="9" spans="1:5" ht="15" x14ac:dyDescent="0.25">
      <c r="A9" s="79"/>
      <c r="B9" s="79">
        <v>30</v>
      </c>
      <c r="C9" s="79"/>
      <c r="D9" s="79" t="s">
        <v>61</v>
      </c>
      <c r="E9" s="80">
        <f>SUM(E10:E17)</f>
        <v>355.07879795396417</v>
      </c>
    </row>
    <row r="10" spans="1:5" x14ac:dyDescent="0.2">
      <c r="C10" s="8">
        <v>300</v>
      </c>
      <c r="D10" s="8" t="s">
        <v>80</v>
      </c>
      <c r="E10" s="18">
        <f>HLOOKUP($D$5,'4.9 Comptes 2022 par habitant'!$E$4:$BE$159,4,0)</f>
        <v>48.436700767263424</v>
      </c>
    </row>
    <row r="11" spans="1:5" x14ac:dyDescent="0.2">
      <c r="C11" s="8">
        <v>301</v>
      </c>
      <c r="D11" s="8" t="s">
        <v>81</v>
      </c>
      <c r="E11" s="18">
        <f>HLOOKUP($D$5,'4.9 Comptes 2022 par habitant'!$E$4:$BE$159,5,0)</f>
        <v>237.59079283887468</v>
      </c>
    </row>
    <row r="12" spans="1:5" x14ac:dyDescent="0.2">
      <c r="C12" s="8">
        <v>302</v>
      </c>
      <c r="D12" s="8" t="s">
        <v>82</v>
      </c>
      <c r="E12" s="18">
        <f>HLOOKUP($D$5,'4.9 Comptes 2022 par habitant'!$E$4:$BE$159,6,0)</f>
        <v>0</v>
      </c>
    </row>
    <row r="13" spans="1:5" x14ac:dyDescent="0.2">
      <c r="C13" s="8">
        <v>303</v>
      </c>
      <c r="D13" s="8" t="s">
        <v>83</v>
      </c>
      <c r="E13" s="18">
        <f>HLOOKUP($D$5,'4.9 Comptes 2022 par habitant'!$E$4:$BE$159,7,0)</f>
        <v>0</v>
      </c>
    </row>
    <row r="14" spans="1:5" x14ac:dyDescent="0.2">
      <c r="C14" s="8">
        <v>304</v>
      </c>
      <c r="D14" s="8" t="s">
        <v>578</v>
      </c>
      <c r="E14" s="18">
        <f>HLOOKUP($D$5,'4.9 Comptes 2022 par habitant'!$E$4:$BE$159,8,0)</f>
        <v>0</v>
      </c>
    </row>
    <row r="15" spans="1:5" x14ac:dyDescent="0.2">
      <c r="C15" s="8">
        <v>305</v>
      </c>
      <c r="D15" s="8" t="s">
        <v>84</v>
      </c>
      <c r="E15" s="18">
        <f>HLOOKUP($D$5,'4.9 Comptes 2022 par habitant'!$E$4:$BE$159,9,0)</f>
        <v>53.888388746803074</v>
      </c>
    </row>
    <row r="16" spans="1:5" x14ac:dyDescent="0.2">
      <c r="C16" s="8">
        <v>306</v>
      </c>
      <c r="D16" s="8" t="s">
        <v>85</v>
      </c>
      <c r="E16" s="18">
        <f>HLOOKUP($D$5,'4.9 Comptes 2022 par habitant'!$E$4:$BE$159,10,0)</f>
        <v>0</v>
      </c>
    </row>
    <row r="17" spans="2:5" x14ac:dyDescent="0.2">
      <c r="C17" s="8">
        <v>309</v>
      </c>
      <c r="D17" s="8" t="s">
        <v>86</v>
      </c>
      <c r="E17" s="18">
        <f>HLOOKUP($D$5,'4.9 Comptes 2022 par habitant'!$E$4:$BE$159,11,0)</f>
        <v>15.162915601023018</v>
      </c>
    </row>
    <row r="18" spans="2:5" x14ac:dyDescent="0.2">
      <c r="E18" s="13"/>
    </row>
    <row r="19" spans="2:5" ht="15" x14ac:dyDescent="0.25">
      <c r="B19" s="79">
        <v>31</v>
      </c>
      <c r="C19" s="79"/>
      <c r="D19" s="79" t="s">
        <v>87</v>
      </c>
      <c r="E19" s="80">
        <f>SUM(E20:E29)</f>
        <v>763.55023017902806</v>
      </c>
    </row>
    <row r="20" spans="2:5" x14ac:dyDescent="0.2">
      <c r="C20" s="8">
        <v>310</v>
      </c>
      <c r="D20" s="8" t="s">
        <v>88</v>
      </c>
      <c r="E20" s="18">
        <f>HLOOKUP($D$5,'4.9 Comptes 2022 par habitant'!$E$4:$BE$159,14,0)</f>
        <v>36.079667519181584</v>
      </c>
    </row>
    <row r="21" spans="2:5" x14ac:dyDescent="0.2">
      <c r="C21" s="8">
        <v>311</v>
      </c>
      <c r="D21" s="8" t="s">
        <v>449</v>
      </c>
      <c r="E21" s="18">
        <f>HLOOKUP($D$5,'4.9 Comptes 2022 par habitant'!$E$4:$BE$159,15,0)</f>
        <v>17.294373401534529</v>
      </c>
    </row>
    <row r="22" spans="2:5" x14ac:dyDescent="0.2">
      <c r="C22" s="8">
        <v>312</v>
      </c>
      <c r="D22" s="8" t="s">
        <v>90</v>
      </c>
      <c r="E22" s="18">
        <f>HLOOKUP($D$5,'4.9 Comptes 2022 par habitant'!$E$4:$BE$159,16,0)</f>
        <v>168.34386189258311</v>
      </c>
    </row>
    <row r="23" spans="2:5" x14ac:dyDescent="0.2">
      <c r="C23" s="8">
        <v>313</v>
      </c>
      <c r="D23" s="8" t="s">
        <v>91</v>
      </c>
      <c r="E23" s="18">
        <f>HLOOKUP($D$5,'4.9 Comptes 2022 par habitant'!$E$4:$BE$159,17,0)</f>
        <v>337.22895140664957</v>
      </c>
    </row>
    <row r="24" spans="2:5" x14ac:dyDescent="0.2">
      <c r="C24" s="8">
        <v>314</v>
      </c>
      <c r="D24" s="8" t="s">
        <v>840</v>
      </c>
      <c r="E24" s="18">
        <f>HLOOKUP($D$5,'4.9 Comptes 2022 par habitant'!$E$4:$BE$159,18,0)</f>
        <v>120.23498721227621</v>
      </c>
    </row>
    <row r="25" spans="2:5" x14ac:dyDescent="0.2">
      <c r="C25" s="8">
        <v>315</v>
      </c>
      <c r="D25" s="8" t="s">
        <v>92</v>
      </c>
      <c r="E25" s="18">
        <f>HLOOKUP($D$5,'4.9 Comptes 2022 par habitant'!$E$4:$BE$159,19,0)</f>
        <v>19.617391304347827</v>
      </c>
    </row>
    <row r="26" spans="2:5" x14ac:dyDescent="0.2">
      <c r="C26" s="8">
        <v>316</v>
      </c>
      <c r="D26" s="8" t="s">
        <v>93</v>
      </c>
      <c r="E26" s="18">
        <f>HLOOKUP($D$5,'4.9 Comptes 2022 par habitant'!$E$4:$BE$159,20,0)</f>
        <v>0</v>
      </c>
    </row>
    <row r="27" spans="2:5" x14ac:dyDescent="0.2">
      <c r="C27" s="8">
        <v>317</v>
      </c>
      <c r="D27" s="8" t="s">
        <v>94</v>
      </c>
      <c r="E27" s="18">
        <f>HLOOKUP($D$5,'4.9 Comptes 2022 par habitant'!$E$4:$BE$159,21,0)</f>
        <v>7.0352941176470596</v>
      </c>
    </row>
    <row r="28" spans="2:5" x14ac:dyDescent="0.2">
      <c r="C28" s="8">
        <v>318</v>
      </c>
      <c r="D28" s="8" t="s">
        <v>95</v>
      </c>
      <c r="E28" s="18">
        <f>HLOOKUP($D$5,'4.9 Comptes 2022 par habitant'!$E$4:$BE$159,22,0)</f>
        <v>51.390639386189264</v>
      </c>
    </row>
    <row r="29" spans="2:5" x14ac:dyDescent="0.2">
      <c r="C29" s="8">
        <v>319</v>
      </c>
      <c r="D29" s="8" t="s">
        <v>96</v>
      </c>
      <c r="E29" s="18">
        <f>HLOOKUP($D$5,'4.9 Comptes 2022 par habitant'!$E$4:$BE$159,23,0)</f>
        <v>6.3250639386189258</v>
      </c>
    </row>
    <row r="30" spans="2:5" x14ac:dyDescent="0.2">
      <c r="E30" s="13"/>
    </row>
    <row r="31" spans="2:5" ht="15" x14ac:dyDescent="0.25">
      <c r="B31" s="79">
        <v>33</v>
      </c>
      <c r="C31" s="79"/>
      <c r="D31" s="79" t="s">
        <v>97</v>
      </c>
      <c r="E31" s="80">
        <f>SUM(E32:E33)</f>
        <v>118.54219948849105</v>
      </c>
    </row>
    <row r="32" spans="2:5" x14ac:dyDescent="0.2">
      <c r="C32" s="8">
        <v>330</v>
      </c>
      <c r="D32" s="8" t="s">
        <v>99</v>
      </c>
      <c r="E32" s="18">
        <f>HLOOKUP($D$5,'4.9 Comptes 2022 par habitant'!$E$4:$BE$159,26,0)</f>
        <v>116.08695652173913</v>
      </c>
    </row>
    <row r="33" spans="2:5" x14ac:dyDescent="0.2">
      <c r="C33" s="8">
        <v>332</v>
      </c>
      <c r="D33" s="8" t="s">
        <v>98</v>
      </c>
      <c r="E33" s="18">
        <f>HLOOKUP($D$5,'4.9 Comptes 2022 par habitant'!$E$4:$BE$159,27,0)</f>
        <v>2.4552429667519182</v>
      </c>
    </row>
    <row r="34" spans="2:5" x14ac:dyDescent="0.2">
      <c r="E34" s="13"/>
    </row>
    <row r="35" spans="2:5" ht="15" x14ac:dyDescent="0.25">
      <c r="B35" s="79">
        <v>34</v>
      </c>
      <c r="C35" s="79"/>
      <c r="D35" s="79" t="s">
        <v>100</v>
      </c>
      <c r="E35" s="80">
        <f>SUM(E36:E41)</f>
        <v>61.193759590792837</v>
      </c>
    </row>
    <row r="36" spans="2:5" x14ac:dyDescent="0.2">
      <c r="C36" s="8">
        <v>340</v>
      </c>
      <c r="D36" s="8" t="s">
        <v>101</v>
      </c>
      <c r="E36" s="18">
        <f>HLOOKUP($D$5,'4.9 Comptes 2022 par habitant'!$E$4:$BE$159,30,0)</f>
        <v>48.360383631713553</v>
      </c>
    </row>
    <row r="37" spans="2:5" x14ac:dyDescent="0.2">
      <c r="C37" s="8">
        <v>341</v>
      </c>
      <c r="D37" s="8" t="s">
        <v>102</v>
      </c>
      <c r="E37" s="18">
        <f>HLOOKUP($D$5,'4.9 Comptes 2022 par habitant'!$E$4:$BE$159,31,0)</f>
        <v>0</v>
      </c>
    </row>
    <row r="38" spans="2:5" x14ac:dyDescent="0.2">
      <c r="C38" s="8">
        <v>342</v>
      </c>
      <c r="D38" s="8" t="s">
        <v>103</v>
      </c>
      <c r="E38" s="18">
        <f>HLOOKUP($D$5,'4.9 Comptes 2022 par habitant'!$E$4:$BE$159,32,0)</f>
        <v>0</v>
      </c>
    </row>
    <row r="39" spans="2:5" x14ac:dyDescent="0.2">
      <c r="C39" s="8">
        <v>343</v>
      </c>
      <c r="D39" s="8" t="s">
        <v>104</v>
      </c>
      <c r="E39" s="18">
        <f>HLOOKUP($D$5,'4.9 Comptes 2022 par habitant'!$E$4:$BE$159,33,0)</f>
        <v>12.833375959079286</v>
      </c>
    </row>
    <row r="40" spans="2:5" x14ac:dyDescent="0.2">
      <c r="C40" s="8">
        <v>344</v>
      </c>
      <c r="D40" s="8" t="s">
        <v>105</v>
      </c>
      <c r="E40" s="18">
        <f>HLOOKUP($D$5,'4.9 Comptes 2022 par habitant'!$E$4:$BE$159,34,0)</f>
        <v>0</v>
      </c>
    </row>
    <row r="41" spans="2:5" x14ac:dyDescent="0.2">
      <c r="C41" s="8">
        <v>349</v>
      </c>
      <c r="D41" s="8" t="s">
        <v>106</v>
      </c>
      <c r="E41" s="18">
        <f>HLOOKUP($D$5,'4.9 Comptes 2022 par habitant'!$E$4:$BE$159,35,0)</f>
        <v>0</v>
      </c>
    </row>
    <row r="42" spans="2:5" x14ac:dyDescent="0.2">
      <c r="E42" s="13"/>
    </row>
    <row r="43" spans="2:5" ht="15" x14ac:dyDescent="0.25">
      <c r="B43" s="79">
        <v>35</v>
      </c>
      <c r="C43" s="79"/>
      <c r="D43" s="79" t="s">
        <v>108</v>
      </c>
      <c r="E43" s="80">
        <f>SUM(E44:E45)</f>
        <v>2.9269565217391307</v>
      </c>
    </row>
    <row r="44" spans="2:5" x14ac:dyDescent="0.2">
      <c r="C44" s="8">
        <v>350</v>
      </c>
      <c r="D44" s="8" t="s">
        <v>108</v>
      </c>
      <c r="E44" s="18">
        <f>HLOOKUP($D$5,'4.9 Comptes 2022 par habitant'!$E$4:$BE$159,38,0)</f>
        <v>0</v>
      </c>
    </row>
    <row r="45" spans="2:5" x14ac:dyDescent="0.2">
      <c r="C45" s="8">
        <v>351</v>
      </c>
      <c r="D45" s="8" t="s">
        <v>107</v>
      </c>
      <c r="E45" s="18">
        <f>HLOOKUP($D$5,'4.9 Comptes 2022 par habitant'!$E$4:$BE$159,39,0)</f>
        <v>2.9269565217391307</v>
      </c>
    </row>
    <row r="46" spans="2:5" x14ac:dyDescent="0.2">
      <c r="E46" s="13"/>
    </row>
    <row r="47" spans="2:5" ht="15" x14ac:dyDescent="0.25">
      <c r="B47" s="79">
        <v>36</v>
      </c>
      <c r="C47" s="79"/>
      <c r="D47" s="79" t="s">
        <v>109</v>
      </c>
      <c r="E47" s="80">
        <f>SUM(E48:E55)</f>
        <v>2493.3615856777492</v>
      </c>
    </row>
    <row r="48" spans="2:5" x14ac:dyDescent="0.2">
      <c r="C48" s="8">
        <v>360</v>
      </c>
      <c r="D48" s="8" t="s">
        <v>110</v>
      </c>
      <c r="E48" s="18">
        <f>HLOOKUP($D$5,'4.9 Comptes 2022 par habitant'!$E$4:$BE$159,42,0)</f>
        <v>8.3759590792838878</v>
      </c>
    </row>
    <row r="49" spans="2:5" x14ac:dyDescent="0.2">
      <c r="C49" s="8">
        <v>361</v>
      </c>
      <c r="D49" s="8" t="s">
        <v>111</v>
      </c>
      <c r="E49" s="18">
        <f>HLOOKUP($D$5,'4.9 Comptes 2022 par habitant'!$E$4:$BE$159,43,0)</f>
        <v>1970.7810230179027</v>
      </c>
    </row>
    <row r="50" spans="2:5" x14ac:dyDescent="0.2">
      <c r="C50" s="8">
        <v>362</v>
      </c>
      <c r="D50" s="8" t="s">
        <v>112</v>
      </c>
      <c r="E50" s="18">
        <f>HLOOKUP($D$5,'4.9 Comptes 2022 par habitant'!$E$4:$BE$159,44,0)</f>
        <v>15.432225063938619</v>
      </c>
    </row>
    <row r="51" spans="2:5" x14ac:dyDescent="0.2">
      <c r="C51" s="8">
        <v>363</v>
      </c>
      <c r="D51" s="8" t="s">
        <v>113</v>
      </c>
      <c r="E51" s="18">
        <f>HLOOKUP($D$5,'4.9 Comptes 2022 par habitant'!$E$4:$BE$159,45,0)</f>
        <v>497.95652173913044</v>
      </c>
    </row>
    <row r="52" spans="2:5" x14ac:dyDescent="0.2">
      <c r="C52" s="8">
        <v>364</v>
      </c>
      <c r="D52" s="8" t="s">
        <v>114</v>
      </c>
      <c r="E52" s="18">
        <f>HLOOKUP($D$5,'4.9 Comptes 2022 par habitant'!$E$4:$BE$159,46,0)</f>
        <v>0</v>
      </c>
    </row>
    <row r="53" spans="2:5" x14ac:dyDescent="0.2">
      <c r="C53" s="8">
        <v>365</v>
      </c>
      <c r="D53" s="8" t="s">
        <v>115</v>
      </c>
      <c r="E53" s="18">
        <f>HLOOKUP($D$5,'4.9 Comptes 2022 par habitant'!$E$4:$BE$159,47,0)</f>
        <v>0</v>
      </c>
    </row>
    <row r="54" spans="2:5" x14ac:dyDescent="0.2">
      <c r="C54" s="8">
        <v>366</v>
      </c>
      <c r="D54" s="8" t="s">
        <v>116</v>
      </c>
      <c r="E54" s="18">
        <f>HLOOKUP($D$5,'4.9 Comptes 2022 par habitant'!$E$4:$BE$159,48,0)</f>
        <v>0.81585677749360619</v>
      </c>
    </row>
    <row r="55" spans="2:5" x14ac:dyDescent="0.2">
      <c r="C55" s="8">
        <v>369</v>
      </c>
      <c r="D55" s="8" t="s">
        <v>117</v>
      </c>
      <c r="E55" s="18">
        <f>HLOOKUP($D$5,'4.9 Comptes 2022 par habitant'!$E$4:$BE$159,49,0)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HLOOKUP($D$5,'4.9 Comptes 2022 par habitant'!$E$4:$BE$159,52,0)</f>
        <v>0</v>
      </c>
    </row>
    <row r="59" spans="2:5" x14ac:dyDescent="0.2">
      <c r="E59" s="13"/>
    </row>
    <row r="60" spans="2:5" ht="15" x14ac:dyDescent="0.25">
      <c r="B60" s="79">
        <v>38</v>
      </c>
      <c r="C60" s="79"/>
      <c r="D60" s="79" t="s">
        <v>120</v>
      </c>
      <c r="E60" s="80">
        <f>SUM(E61:E66)</f>
        <v>2.3529411764705883</v>
      </c>
    </row>
    <row r="61" spans="2:5" x14ac:dyDescent="0.2">
      <c r="C61" s="8">
        <v>380</v>
      </c>
      <c r="D61" s="8" t="s">
        <v>121</v>
      </c>
      <c r="E61" s="18">
        <f>HLOOKUP($D$5,'4.9 Comptes 2022 par habitant'!$E$4:$BE$159,55,0)</f>
        <v>0</v>
      </c>
    </row>
    <row r="62" spans="2:5" x14ac:dyDescent="0.2">
      <c r="C62" s="8">
        <v>381</v>
      </c>
      <c r="D62" s="8" t="s">
        <v>122</v>
      </c>
      <c r="E62" s="18">
        <f>HLOOKUP($D$5,'4.9 Comptes 2022 par habitant'!$E$4:$BE$159,56,0)</f>
        <v>0</v>
      </c>
    </row>
    <row r="63" spans="2:5" x14ac:dyDescent="0.2">
      <c r="C63" s="8">
        <v>384</v>
      </c>
      <c r="D63" s="8" t="s">
        <v>123</v>
      </c>
      <c r="E63" s="18">
        <f>HLOOKUP($D$5,'4.9 Comptes 2022 par habitant'!$E$4:$BE$159,57,0)</f>
        <v>0</v>
      </c>
    </row>
    <row r="64" spans="2:5" x14ac:dyDescent="0.2">
      <c r="C64" s="8">
        <v>385</v>
      </c>
      <c r="D64" s="8" t="s">
        <v>124</v>
      </c>
      <c r="E64" s="18">
        <f>HLOOKUP($D$5,'4.9 Comptes 2022 par habitant'!$E$4:$BE$159,58,0)</f>
        <v>0</v>
      </c>
    </row>
    <row r="65" spans="1:5" x14ac:dyDescent="0.2">
      <c r="C65" s="8">
        <v>386</v>
      </c>
      <c r="D65" s="8" t="s">
        <v>125</v>
      </c>
      <c r="E65" s="18">
        <f>HLOOKUP($D$5,'4.9 Comptes 2022 par habitant'!$E$4:$BE$159,59,0)</f>
        <v>0</v>
      </c>
    </row>
    <row r="66" spans="1:5" x14ac:dyDescent="0.2">
      <c r="C66" s="8">
        <v>389</v>
      </c>
      <c r="D66" s="8" t="s">
        <v>289</v>
      </c>
      <c r="E66" s="18">
        <f>HLOOKUP($D$5,'4.9 Comptes 2022 par habitant'!$E$4:$BE$159,60,0)</f>
        <v>2.3529411764705883</v>
      </c>
    </row>
    <row r="67" spans="1:5" x14ac:dyDescent="0.2">
      <c r="E67" s="13"/>
    </row>
    <row r="68" spans="1:5" ht="15" x14ac:dyDescent="0.25">
      <c r="B68" s="79">
        <v>39</v>
      </c>
      <c r="C68" s="79"/>
      <c r="D68" s="79" t="s">
        <v>127</v>
      </c>
      <c r="E68" s="80">
        <f>SUM(E69:E76)</f>
        <v>0</v>
      </c>
    </row>
    <row r="69" spans="1:5" x14ac:dyDescent="0.2">
      <c r="C69" s="8">
        <v>390</v>
      </c>
      <c r="D69" s="8" t="s">
        <v>128</v>
      </c>
      <c r="E69" s="18">
        <f>HLOOKUP($D$5,'4.9 Comptes 2022 par habitant'!$E$4:$BE$159,63,0)</f>
        <v>0</v>
      </c>
    </row>
    <row r="70" spans="1:5" x14ac:dyDescent="0.2">
      <c r="C70" s="8">
        <v>391</v>
      </c>
      <c r="D70" s="8" t="s">
        <v>129</v>
      </c>
      <c r="E70" s="18">
        <f>HLOOKUP($D$5,'4.9 Comptes 2022 par habitant'!$E$4:$BE$159,64,0)</f>
        <v>0</v>
      </c>
    </row>
    <row r="71" spans="1:5" x14ac:dyDescent="0.2">
      <c r="C71" s="8">
        <v>392</v>
      </c>
      <c r="D71" s="8" t="s">
        <v>130</v>
      </c>
      <c r="E71" s="18">
        <f>HLOOKUP($D$5,'4.9 Comptes 2022 par habitant'!$E$4:$BE$159,65,0)</f>
        <v>0</v>
      </c>
    </row>
    <row r="72" spans="1:5" x14ac:dyDescent="0.2">
      <c r="C72" s="8">
        <v>393</v>
      </c>
      <c r="D72" s="8" t="s">
        <v>131</v>
      </c>
      <c r="E72" s="18">
        <f>HLOOKUP($D$5,'4.9 Comptes 2022 par habitant'!$E$4:$BE$159,66,0)</f>
        <v>0</v>
      </c>
    </row>
    <row r="73" spans="1:5" x14ac:dyDescent="0.2">
      <c r="C73" s="8">
        <v>394</v>
      </c>
      <c r="D73" s="8" t="s">
        <v>132</v>
      </c>
      <c r="E73" s="18">
        <f>HLOOKUP($D$5,'4.9 Comptes 2022 par habitant'!$E$4:$BE$159,67,0)</f>
        <v>0</v>
      </c>
    </row>
    <row r="74" spans="1:5" x14ac:dyDescent="0.2">
      <c r="C74" s="8">
        <v>395</v>
      </c>
      <c r="D74" s="8" t="s">
        <v>133</v>
      </c>
      <c r="E74" s="18">
        <f>HLOOKUP($D$5,'4.9 Comptes 2022 par habitant'!$E$4:$BE$159,68,0)</f>
        <v>0</v>
      </c>
    </row>
    <row r="75" spans="1:5" x14ac:dyDescent="0.2">
      <c r="C75" s="8">
        <v>398</v>
      </c>
      <c r="D75" s="8" t="s">
        <v>134</v>
      </c>
      <c r="E75" s="18">
        <f>HLOOKUP($D$5,'4.9 Comptes 2022 par habitant'!$E$4:$BE$159,69,0)</f>
        <v>0</v>
      </c>
    </row>
    <row r="76" spans="1:5" x14ac:dyDescent="0.2">
      <c r="C76" s="8">
        <v>399</v>
      </c>
      <c r="D76" s="8" t="s">
        <v>135</v>
      </c>
      <c r="E76" s="18">
        <f>HLOOKUP($D$5,'4.9 Comptes 2022 par habitant'!$E$4:$BE$159,70,0)</f>
        <v>0</v>
      </c>
    </row>
    <row r="77" spans="1:5" x14ac:dyDescent="0.2">
      <c r="E77" s="13"/>
    </row>
    <row r="78" spans="1:5" x14ac:dyDescent="0.2">
      <c r="E78" s="13"/>
    </row>
    <row r="79" spans="1:5" ht="20.25" x14ac:dyDescent="0.3">
      <c r="A79" s="14">
        <v>4</v>
      </c>
      <c r="B79" s="14"/>
      <c r="C79" s="14"/>
      <c r="D79" s="14" t="s">
        <v>136</v>
      </c>
      <c r="E79" s="98">
        <f>HLOOKUP($D$5,'4.9 Comptes 2022 par habitant'!$E$4:$BE$159,73,0)</f>
        <v>4132.501713554987</v>
      </c>
    </row>
    <row r="80" spans="1:5" ht="15" x14ac:dyDescent="0.25">
      <c r="A80" s="7"/>
      <c r="B80" s="81">
        <v>40</v>
      </c>
      <c r="C80" s="81"/>
      <c r="D80" s="81" t="s">
        <v>79</v>
      </c>
      <c r="E80" s="82">
        <f>SUM(E81:E84)</f>
        <v>2196.6719437340153</v>
      </c>
    </row>
    <row r="81" spans="2:5" x14ac:dyDescent="0.2">
      <c r="C81" s="8">
        <v>400</v>
      </c>
      <c r="D81" s="8" t="s">
        <v>137</v>
      </c>
      <c r="E81" s="18">
        <f>HLOOKUP($D$5,'4.9 Comptes 2022 par habitant'!$E$4:$BE$159,75,0)</f>
        <v>1774.0862659846546</v>
      </c>
    </row>
    <row r="82" spans="2:5" x14ac:dyDescent="0.2">
      <c r="C82" s="8">
        <v>401</v>
      </c>
      <c r="D82" s="8" t="s">
        <v>138</v>
      </c>
      <c r="E82" s="18">
        <f>HLOOKUP($D$5,'4.9 Comptes 2022 par habitant'!$E$4:$BE$159,76,0)</f>
        <v>41.110997442455243</v>
      </c>
    </row>
    <row r="83" spans="2:5" x14ac:dyDescent="0.2">
      <c r="C83" s="8">
        <v>402</v>
      </c>
      <c r="D83" s="8" t="s">
        <v>139</v>
      </c>
      <c r="E83" s="18">
        <f>HLOOKUP($D$5,'4.9 Comptes 2022 par habitant'!$E$4:$BE$159,77,0)</f>
        <v>342.85166240409205</v>
      </c>
    </row>
    <row r="84" spans="2:5" x14ac:dyDescent="0.2">
      <c r="C84" s="8">
        <v>403</v>
      </c>
      <c r="D84" s="8" t="s">
        <v>140</v>
      </c>
      <c r="E84" s="18">
        <f>HLOOKUP($D$5,'4.9 Comptes 2022 par habitant'!$E$4:$BE$159,78,0)</f>
        <v>38.623017902813302</v>
      </c>
    </row>
    <row r="85" spans="2:5" x14ac:dyDescent="0.2">
      <c r="E85" s="13"/>
    </row>
    <row r="86" spans="2:5" ht="15" x14ac:dyDescent="0.25">
      <c r="B86" s="81">
        <v>41</v>
      </c>
      <c r="C86" s="81"/>
      <c r="D86" s="81" t="s">
        <v>141</v>
      </c>
      <c r="E86" s="82">
        <f>SUM(E87:E90)</f>
        <v>0</v>
      </c>
    </row>
    <row r="87" spans="2:5" x14ac:dyDescent="0.2">
      <c r="C87" s="8">
        <v>410</v>
      </c>
      <c r="D87" s="8" t="s">
        <v>142</v>
      </c>
      <c r="E87" s="18">
        <f>HLOOKUP($D$5,'4.9 Comptes 2022 par habitant'!$E$4:$BE$159,81,0)</f>
        <v>0</v>
      </c>
    </row>
    <row r="88" spans="2:5" x14ac:dyDescent="0.2">
      <c r="C88" s="8">
        <v>411</v>
      </c>
      <c r="D88" s="8" t="s">
        <v>143</v>
      </c>
      <c r="E88" s="18">
        <f>HLOOKUP($D$5,'4.9 Comptes 2022 par habitant'!$E$4:$BE$159,82,0)</f>
        <v>0</v>
      </c>
    </row>
    <row r="89" spans="2:5" x14ac:dyDescent="0.2">
      <c r="C89" s="8">
        <v>412</v>
      </c>
      <c r="D89" s="8" t="s">
        <v>144</v>
      </c>
      <c r="E89" s="18">
        <f>HLOOKUP($D$5,'4.9 Comptes 2022 par habitant'!$E$4:$BE$159,83,0)</f>
        <v>0</v>
      </c>
    </row>
    <row r="90" spans="2:5" x14ac:dyDescent="0.2">
      <c r="C90" s="8">
        <v>413</v>
      </c>
      <c r="D90" s="8" t="s">
        <v>145</v>
      </c>
      <c r="E90" s="18">
        <f>HLOOKUP($D$5,'4.9 Comptes 2022 par habitant'!$E$4:$BE$159,84,0)</f>
        <v>0</v>
      </c>
    </row>
    <row r="91" spans="2:5" x14ac:dyDescent="0.2">
      <c r="E91" s="13"/>
    </row>
    <row r="92" spans="2:5" ht="15" x14ac:dyDescent="0.25">
      <c r="B92" s="81">
        <v>42</v>
      </c>
      <c r="C92" s="81"/>
      <c r="D92" s="81" t="s">
        <v>146</v>
      </c>
      <c r="E92" s="82">
        <f>SUM(E93:E101)</f>
        <v>856.90575447570347</v>
      </c>
    </row>
    <row r="93" spans="2:5" x14ac:dyDescent="0.2">
      <c r="C93" s="8">
        <v>420</v>
      </c>
      <c r="D93" s="8" t="s">
        <v>147</v>
      </c>
      <c r="E93" s="18">
        <f>HLOOKUP($D$5,'4.9 Comptes 2022 par habitant'!$E$4:$BE$159,87,0)</f>
        <v>17.571355498721228</v>
      </c>
    </row>
    <row r="94" spans="2:5" x14ac:dyDescent="0.2">
      <c r="C94" s="8">
        <v>421</v>
      </c>
      <c r="D94" s="8" t="s">
        <v>148</v>
      </c>
      <c r="E94" s="18">
        <f>HLOOKUP($D$5,'4.9 Comptes 2022 par habitant'!$E$4:$BE$159,88,0)</f>
        <v>11.241048593350383</v>
      </c>
    </row>
    <row r="95" spans="2:5" x14ac:dyDescent="0.2">
      <c r="C95" s="8">
        <v>422</v>
      </c>
      <c r="D95" s="8" t="s">
        <v>149</v>
      </c>
      <c r="E95" s="18">
        <f>HLOOKUP($D$5,'4.9 Comptes 2022 par habitant'!$E$4:$BE$159,89,0)</f>
        <v>0</v>
      </c>
    </row>
    <row r="96" spans="2:5" x14ac:dyDescent="0.2">
      <c r="C96" s="8">
        <v>423</v>
      </c>
      <c r="D96" s="8" t="s">
        <v>150</v>
      </c>
      <c r="E96" s="18">
        <f>HLOOKUP($D$5,'4.9 Comptes 2022 par habitant'!$E$4:$BE$159,90,0)</f>
        <v>22.022506393861892</v>
      </c>
    </row>
    <row r="97" spans="2:5" x14ac:dyDescent="0.2">
      <c r="C97" s="8">
        <v>424</v>
      </c>
      <c r="D97" s="8" t="s">
        <v>151</v>
      </c>
      <c r="E97" s="18">
        <f>HLOOKUP($D$5,'4.9 Comptes 2022 par habitant'!$E$4:$BE$159,91,0)</f>
        <v>725.30984654731469</v>
      </c>
    </row>
    <row r="98" spans="2:5" x14ac:dyDescent="0.2">
      <c r="C98" s="8">
        <v>425</v>
      </c>
      <c r="D98" s="8" t="s">
        <v>152</v>
      </c>
      <c r="E98" s="18">
        <f>HLOOKUP($D$5,'4.9 Comptes 2022 par habitant'!$E$4:$BE$159,92,0)</f>
        <v>13.00383631713555</v>
      </c>
    </row>
    <row r="99" spans="2:5" x14ac:dyDescent="0.2">
      <c r="C99" s="8">
        <v>426</v>
      </c>
      <c r="D99" s="8" t="s">
        <v>153</v>
      </c>
      <c r="E99" s="18">
        <f>HLOOKUP($D$5,'4.9 Comptes 2022 par habitant'!$E$4:$BE$159,93,0)</f>
        <v>67.757161125319698</v>
      </c>
    </row>
    <row r="100" spans="2:5" x14ac:dyDescent="0.2">
      <c r="C100" s="8">
        <v>427</v>
      </c>
      <c r="D100" s="8" t="s">
        <v>154</v>
      </c>
      <c r="E100" s="18">
        <f>HLOOKUP($D$5,'4.9 Comptes 2022 par habitant'!$E$4:$BE$159,94,0)</f>
        <v>0</v>
      </c>
    </row>
    <row r="101" spans="2:5" x14ac:dyDescent="0.2">
      <c r="C101" s="8">
        <v>429</v>
      </c>
      <c r="D101" s="8" t="s">
        <v>155</v>
      </c>
      <c r="E101" s="18">
        <f>HLOOKUP($D$5,'4.9 Comptes 2022 par habitant'!$E$4:$BE$159,95,0)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HLOOKUP($D$5,'4.9 Comptes 2022 par habitant'!$E$4:$BE$159,98,0)</f>
        <v>0</v>
      </c>
    </row>
    <row r="105" spans="2:5" x14ac:dyDescent="0.2">
      <c r="C105" s="8">
        <v>431</v>
      </c>
      <c r="D105" s="8" t="s">
        <v>158</v>
      </c>
      <c r="E105" s="18">
        <f>HLOOKUP($D$5,'4.9 Comptes 2022 par habitant'!$E$4:$BE$159,99,0)</f>
        <v>0</v>
      </c>
    </row>
    <row r="106" spans="2:5" x14ac:dyDescent="0.2">
      <c r="C106" s="8">
        <v>432</v>
      </c>
      <c r="D106" s="8" t="s">
        <v>159</v>
      </c>
      <c r="E106" s="18">
        <f>HLOOKUP($D$5,'4.9 Comptes 2022 par habitant'!$E$4:$BE$159,100,0)</f>
        <v>0</v>
      </c>
    </row>
    <row r="107" spans="2:5" x14ac:dyDescent="0.2">
      <c r="C107" s="8">
        <v>439</v>
      </c>
      <c r="D107" s="8" t="s">
        <v>160</v>
      </c>
      <c r="E107" s="18">
        <f>HLOOKUP($D$5,'4.9 Comptes 2022 par habitant'!$E$4:$BE$159,101,0)</f>
        <v>0</v>
      </c>
    </row>
    <row r="108" spans="2:5" x14ac:dyDescent="0.2">
      <c r="E108" s="13"/>
    </row>
    <row r="109" spans="2:5" ht="15" x14ac:dyDescent="0.25">
      <c r="B109" s="81">
        <v>44</v>
      </c>
      <c r="C109" s="81"/>
      <c r="D109" s="81" t="s">
        <v>161</v>
      </c>
      <c r="E109" s="82">
        <f>SUM(E110:E119)</f>
        <v>120.05739130434783</v>
      </c>
    </row>
    <row r="110" spans="2:5" x14ac:dyDescent="0.2">
      <c r="C110" s="8">
        <v>440</v>
      </c>
      <c r="D110" s="8" t="s">
        <v>162</v>
      </c>
      <c r="E110" s="18">
        <f>HLOOKUP($D$5,'4.9 Comptes 2022 par habitant'!$E$4:$BE$159,104,0)</f>
        <v>30.005856777493609</v>
      </c>
    </row>
    <row r="111" spans="2:5" x14ac:dyDescent="0.2">
      <c r="C111" s="8">
        <v>441</v>
      </c>
      <c r="D111" s="8" t="s">
        <v>163</v>
      </c>
      <c r="E111" s="18">
        <f>HLOOKUP($D$5,'4.9 Comptes 2022 par habitant'!$E$4:$BE$159,105,0)</f>
        <v>0</v>
      </c>
    </row>
    <row r="112" spans="2:5" x14ac:dyDescent="0.2">
      <c r="C112" s="8">
        <v>442</v>
      </c>
      <c r="D112" s="8" t="s">
        <v>164</v>
      </c>
      <c r="E112" s="18">
        <f>HLOOKUP($D$5,'4.9 Comptes 2022 par habitant'!$E$4:$BE$159,106,0)</f>
        <v>0</v>
      </c>
    </row>
    <row r="113" spans="2:5" x14ac:dyDescent="0.2">
      <c r="C113" s="8">
        <v>443</v>
      </c>
      <c r="D113" s="8" t="s">
        <v>165</v>
      </c>
      <c r="E113" s="18">
        <f>HLOOKUP($D$5,'4.9 Comptes 2022 par habitant'!$E$4:$BE$159,107,0)</f>
        <v>85.447953964194383</v>
      </c>
    </row>
    <row r="114" spans="2:5" x14ac:dyDescent="0.2">
      <c r="C114" s="8">
        <v>444</v>
      </c>
      <c r="D114" s="8" t="s">
        <v>105</v>
      </c>
      <c r="E114" s="18">
        <f>HLOOKUP($D$5,'4.9 Comptes 2022 par habitant'!$E$4:$BE$159,108,0)</f>
        <v>0.10230179028132992</v>
      </c>
    </row>
    <row r="115" spans="2:5" x14ac:dyDescent="0.2">
      <c r="C115" s="8">
        <v>445</v>
      </c>
      <c r="D115" s="8" t="s">
        <v>166</v>
      </c>
      <c r="E115" s="18">
        <f>HLOOKUP($D$5,'4.9 Comptes 2022 par habitant'!$E$4:$BE$159,109,0)</f>
        <v>0</v>
      </c>
    </row>
    <row r="116" spans="2:5" x14ac:dyDescent="0.2">
      <c r="C116" s="8">
        <v>446</v>
      </c>
      <c r="D116" s="8" t="s">
        <v>167</v>
      </c>
      <c r="E116" s="18">
        <f>HLOOKUP($D$5,'4.9 Comptes 2022 par habitant'!$E$4:$BE$159,110,0)</f>
        <v>0</v>
      </c>
    </row>
    <row r="117" spans="2:5" x14ac:dyDescent="0.2">
      <c r="C117" s="8">
        <v>447</v>
      </c>
      <c r="D117" s="8" t="s">
        <v>168</v>
      </c>
      <c r="E117" s="18">
        <f>HLOOKUP($D$5,'4.9 Comptes 2022 par habitant'!$E$4:$BE$159,111,0)</f>
        <v>4.2199488491048589</v>
      </c>
    </row>
    <row r="118" spans="2:5" x14ac:dyDescent="0.2">
      <c r="C118" s="8">
        <v>448</v>
      </c>
      <c r="D118" s="8" t="s">
        <v>169</v>
      </c>
      <c r="E118" s="18">
        <f>HLOOKUP($D$5,'4.9 Comptes 2022 par habitant'!$E$4:$BE$159,112,0)</f>
        <v>0</v>
      </c>
    </row>
    <row r="119" spans="2:5" x14ac:dyDescent="0.2">
      <c r="C119" s="8">
        <v>449</v>
      </c>
      <c r="D119" s="8" t="s">
        <v>170</v>
      </c>
      <c r="E119" s="18">
        <f>HLOOKUP($D$5,'4.9 Comptes 2022 par habitant'!$E$4:$BE$159,113,0)</f>
        <v>0.2813299232736573</v>
      </c>
    </row>
    <row r="120" spans="2:5" x14ac:dyDescent="0.2">
      <c r="E120" s="13"/>
    </row>
    <row r="121" spans="2:5" ht="15" x14ac:dyDescent="0.25">
      <c r="B121" s="81">
        <v>45</v>
      </c>
      <c r="C121" s="81"/>
      <c r="D121" s="81" t="s">
        <v>173</v>
      </c>
      <c r="E121" s="82">
        <f>SUM(E122:E123)</f>
        <v>11.508951406649617</v>
      </c>
    </row>
    <row r="122" spans="2:5" x14ac:dyDescent="0.2">
      <c r="C122" s="8">
        <v>450</v>
      </c>
      <c r="D122" s="8" t="s">
        <v>171</v>
      </c>
      <c r="E122" s="18">
        <f>HLOOKUP($D$5,'4.9 Comptes 2022 par habitant'!$E$4:$BE$159,116,0)</f>
        <v>0</v>
      </c>
    </row>
    <row r="123" spans="2:5" x14ac:dyDescent="0.2">
      <c r="C123" s="8">
        <v>451</v>
      </c>
      <c r="D123" s="8" t="s">
        <v>172</v>
      </c>
      <c r="E123" s="18">
        <f>HLOOKUP($D$5,'4.9 Comptes 2022 par habitant'!$E$4:$BE$159,117,0)</f>
        <v>11.508951406649617</v>
      </c>
    </row>
    <row r="124" spans="2:5" x14ac:dyDescent="0.2">
      <c r="E124" s="13"/>
    </row>
    <row r="125" spans="2:5" ht="15" x14ac:dyDescent="0.25">
      <c r="B125" s="81">
        <v>46</v>
      </c>
      <c r="C125" s="81"/>
      <c r="D125" s="81" t="s">
        <v>174</v>
      </c>
      <c r="E125" s="82">
        <f>SUM(E126:E130)</f>
        <v>946.54181585677748</v>
      </c>
    </row>
    <row r="126" spans="2:5" x14ac:dyDescent="0.2">
      <c r="C126" s="8">
        <v>460</v>
      </c>
      <c r="D126" s="8" t="s">
        <v>175</v>
      </c>
      <c r="E126" s="18">
        <f>HLOOKUP($D$5,'4.9 Comptes 2022 par habitant'!$E$4:$BE$159,120,0)</f>
        <v>1.4884910485933505</v>
      </c>
    </row>
    <row r="127" spans="2:5" x14ac:dyDescent="0.2">
      <c r="C127" s="8">
        <v>461</v>
      </c>
      <c r="D127" s="8" t="s">
        <v>176</v>
      </c>
      <c r="E127" s="18">
        <f>HLOOKUP($D$5,'4.9 Comptes 2022 par habitant'!$E$4:$BE$159,121,0)</f>
        <v>466.7410485933504</v>
      </c>
    </row>
    <row r="128" spans="2:5" x14ac:dyDescent="0.2">
      <c r="C128" s="8">
        <v>462</v>
      </c>
      <c r="D128" s="8" t="s">
        <v>112</v>
      </c>
      <c r="E128" s="18">
        <f>HLOOKUP($D$5,'4.9 Comptes 2022 par habitant'!$E$4:$BE$159,122,0)</f>
        <v>376.96675191815859</v>
      </c>
    </row>
    <row r="129" spans="2:5" x14ac:dyDescent="0.2">
      <c r="C129" s="8">
        <v>463</v>
      </c>
      <c r="D129" s="8" t="s">
        <v>177</v>
      </c>
      <c r="E129" s="18">
        <f>HLOOKUP($D$5,'4.9 Comptes 2022 par habitant'!$E$4:$BE$159,123,0)</f>
        <v>101.12800511508952</v>
      </c>
    </row>
    <row r="130" spans="2:5" x14ac:dyDescent="0.2">
      <c r="C130" s="8">
        <v>469</v>
      </c>
      <c r="D130" s="8" t="s">
        <v>178</v>
      </c>
      <c r="E130" s="18">
        <f>HLOOKUP($D$5,'4.9 Comptes 2022 par habitant'!$E$4:$BE$159,124,0)</f>
        <v>0.21751918158567773</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HLOOKUP($D$5,'4.9 Comptes 2022 par habitant'!$E$4:$BE$159,127,0)</f>
        <v>0</v>
      </c>
    </row>
    <row r="134" spans="2:5" x14ac:dyDescent="0.2">
      <c r="E134" s="13"/>
    </row>
    <row r="135" spans="2:5" ht="15" x14ac:dyDescent="0.25">
      <c r="B135" s="81">
        <v>48</v>
      </c>
      <c r="C135" s="81"/>
      <c r="D135" s="81" t="s">
        <v>180</v>
      </c>
      <c r="E135" s="82">
        <f>SUM(E136:E142)</f>
        <v>0.81585677749360619</v>
      </c>
    </row>
    <row r="136" spans="2:5" x14ac:dyDescent="0.2">
      <c r="C136" s="8">
        <v>481</v>
      </c>
      <c r="D136" s="8" t="s">
        <v>181</v>
      </c>
      <c r="E136" s="18">
        <f>HLOOKUP($D$5,'4.9 Comptes 2022 par habitant'!$E$4:$BE$159,130,0)</f>
        <v>0</v>
      </c>
    </row>
    <row r="137" spans="2:5" x14ac:dyDescent="0.2">
      <c r="C137" s="8">
        <v>482</v>
      </c>
      <c r="D137" s="8" t="s">
        <v>182</v>
      </c>
      <c r="E137" s="18">
        <f>HLOOKUP($D$5,'4.9 Comptes 2022 par habitant'!$E$4:$BE$159,131,0)</f>
        <v>0</v>
      </c>
    </row>
    <row r="138" spans="2:5" x14ac:dyDescent="0.2">
      <c r="C138" s="8">
        <v>483</v>
      </c>
      <c r="D138" s="8" t="s">
        <v>183</v>
      </c>
      <c r="E138" s="18">
        <f>HLOOKUP($D$5,'4.9 Comptes 2022 par habitant'!$E$4:$BE$159,132,0)</f>
        <v>0</v>
      </c>
    </row>
    <row r="139" spans="2:5" x14ac:dyDescent="0.2">
      <c r="C139" s="8">
        <v>484</v>
      </c>
      <c r="D139" s="8" t="s">
        <v>184</v>
      </c>
      <c r="E139" s="18">
        <f>HLOOKUP($D$5,'4.9 Comptes 2022 par habitant'!$E$4:$BE$159,133,0)</f>
        <v>0</v>
      </c>
    </row>
    <row r="140" spans="2:5" x14ac:dyDescent="0.2">
      <c r="C140" s="8">
        <v>485</v>
      </c>
      <c r="D140" s="8" t="s">
        <v>185</v>
      </c>
      <c r="E140" s="18">
        <f>HLOOKUP($D$5,'4.9 Comptes 2022 par habitant'!$E$4:$BE$159,134,0)</f>
        <v>0</v>
      </c>
    </row>
    <row r="141" spans="2:5" x14ac:dyDescent="0.2">
      <c r="C141" s="8">
        <v>486</v>
      </c>
      <c r="D141" s="8" t="s">
        <v>186</v>
      </c>
      <c r="E141" s="18">
        <f>HLOOKUP($D$5,'4.9 Comptes 2022 par habitant'!$E$4:$BE$159,135,0)</f>
        <v>0</v>
      </c>
    </row>
    <row r="142" spans="2:5" x14ac:dyDescent="0.2">
      <c r="C142" s="8">
        <v>489</v>
      </c>
      <c r="D142" s="8" t="s">
        <v>187</v>
      </c>
      <c r="E142" s="18">
        <f>HLOOKUP($D$5,'4.9 Comptes 2022 par habitant'!$E$4:$BE$159,136,0)</f>
        <v>0.81585677749360619</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HLOOKUP($D$5,'4.9 Comptes 2022 par habitant'!$E$4:$BE$159,139,0)</f>
        <v>0</v>
      </c>
    </row>
    <row r="146" spans="1:5" x14ac:dyDescent="0.2">
      <c r="C146" s="8">
        <v>491</v>
      </c>
      <c r="D146" s="8" t="s">
        <v>129</v>
      </c>
      <c r="E146" s="18">
        <f>HLOOKUP($D$5,'4.9 Comptes 2022 par habitant'!$E$4:$BE$159,140,0)</f>
        <v>0</v>
      </c>
    </row>
    <row r="147" spans="1:5" x14ac:dyDescent="0.2">
      <c r="C147" s="8">
        <v>492</v>
      </c>
      <c r="D147" s="8" t="s">
        <v>188</v>
      </c>
      <c r="E147" s="18">
        <f>HLOOKUP($D$5,'4.9 Comptes 2022 par habitant'!$E$4:$BE$159,141,0)</f>
        <v>0</v>
      </c>
    </row>
    <row r="148" spans="1:5" x14ac:dyDescent="0.2">
      <c r="C148" s="8">
        <v>493</v>
      </c>
      <c r="D148" s="8" t="s">
        <v>189</v>
      </c>
      <c r="E148" s="18">
        <f>HLOOKUP($D$5,'4.9 Comptes 2022 par habitant'!$E$4:$BE$159,142,0)</f>
        <v>0</v>
      </c>
    </row>
    <row r="149" spans="1:5" x14ac:dyDescent="0.2">
      <c r="C149" s="8">
        <v>494</v>
      </c>
      <c r="D149" s="8" t="s">
        <v>132</v>
      </c>
      <c r="E149" s="18">
        <f>HLOOKUP($D$5,'4.9 Comptes 2022 par habitant'!$E$4:$BE$159,143,0)</f>
        <v>0</v>
      </c>
    </row>
    <row r="150" spans="1:5" x14ac:dyDescent="0.2">
      <c r="C150" s="8">
        <v>495</v>
      </c>
      <c r="D150" s="8" t="s">
        <v>190</v>
      </c>
      <c r="E150" s="18">
        <f>HLOOKUP($D$5,'4.9 Comptes 2022 par habitant'!$E$4:$BE$159,144,0)</f>
        <v>0</v>
      </c>
    </row>
    <row r="151" spans="1:5" x14ac:dyDescent="0.2">
      <c r="C151" s="8">
        <v>498</v>
      </c>
      <c r="D151" s="8" t="s">
        <v>191</v>
      </c>
      <c r="E151" s="18">
        <f>HLOOKUP($D$5,'4.9 Comptes 2022 par habitant'!$E$4:$BE$159,145,0)</f>
        <v>0</v>
      </c>
    </row>
    <row r="152" spans="1:5" x14ac:dyDescent="0.2">
      <c r="C152" s="8">
        <v>499</v>
      </c>
      <c r="D152" s="8" t="s">
        <v>135</v>
      </c>
      <c r="E152" s="18">
        <f>HLOOKUP($D$5,'4.9 Comptes 2022 par habitant'!$E$4:$BE$159,146,0)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335.4952429667519</v>
      </c>
    </row>
    <row r="158" spans="1:5" x14ac:dyDescent="0.2">
      <c r="C158" s="8">
        <v>900</v>
      </c>
      <c r="D158" s="8" t="s">
        <v>195</v>
      </c>
      <c r="E158" s="18">
        <f>HLOOKUP($D$5,'4.9 Comptes 2022 par habitant'!$E$4:$BE$159,152,0)</f>
        <v>0.64370843989769821</v>
      </c>
    </row>
    <row r="159" spans="1:5" x14ac:dyDescent="0.2">
      <c r="C159" s="8">
        <v>901</v>
      </c>
      <c r="D159" s="8" t="s">
        <v>196</v>
      </c>
      <c r="E159" s="18">
        <f>HLOOKUP($D$5,'4.9 Comptes 2022 par habitant'!$E$4:$BE$159,153,0)</f>
        <v>334.85153452685421</v>
      </c>
    </row>
    <row r="160" spans="1:5" x14ac:dyDescent="0.2">
      <c r="E160" s="13"/>
    </row>
    <row r="161" spans="4:5" ht="15" x14ac:dyDescent="0.25">
      <c r="D161" s="7" t="s">
        <v>197</v>
      </c>
      <c r="E161" s="99">
        <f>HLOOKUP($D$5,'4.9 Comptes 2022 par habitant'!$E$4:$BE$159,155,0)</f>
        <v>335.4952429667519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2023-10-17T08:42:39Z</dcterms:modified>
</cp:coreProperties>
</file>