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61" activeTab="61"/>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3" i="76"/>
  <c r="E45" i="70" l="1"/>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F155" i="69"/>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AG221" i="75" l="1"/>
  <c r="F224" i="76" s="1"/>
  <c r="C12" i="72"/>
  <c r="E158" i="70"/>
  <c r="C11" i="72"/>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AF132" i="69"/>
  <c r="E135" i="70" s="1"/>
  <c r="AF122" i="69"/>
  <c r="E125" i="70" s="1"/>
  <c r="AF154" i="69"/>
  <c r="C7" i="71" s="1"/>
  <c r="C8" i="71"/>
  <c r="AF118" i="69"/>
  <c r="E121" i="70" s="1"/>
  <c r="AF141" i="69"/>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C18" i="78" s="1"/>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C14" i="74" l="1"/>
  <c r="AF165" i="69"/>
  <c r="C19" i="74"/>
  <c r="C13" i="74"/>
  <c r="O226" i="75"/>
  <c r="AB162" i="69"/>
  <c r="AB163" i="69" s="1"/>
  <c r="X162" i="69"/>
  <c r="X163" i="69" s="1"/>
  <c r="H162" i="69"/>
  <c r="H163" i="69" s="1"/>
  <c r="Z162" i="69"/>
  <c r="Z163" i="69" s="1"/>
  <c r="AE226" i="75"/>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F8" i="76" s="1"/>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AD12" i="77"/>
  <c r="C12" i="78" s="1"/>
  <c r="AD16" i="77"/>
  <c r="C16" i="78" s="1"/>
  <c r="AD14" i="77"/>
  <c r="C14" i="78" s="1"/>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C21" i="78" s="1"/>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C8" i="78" s="1"/>
  <c r="C22" i="78" s="1"/>
  <c r="AD10" i="77"/>
  <c r="C10" i="78" s="1"/>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<sst xmlns="http://schemas.openxmlformats.org/spreadsheetml/2006/main" count="5649" uniqueCount="883">
  <si>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</si>
  <si>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</si>
  <si>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</si>
  <si>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</si>
  <si>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</si>
  <si>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</si>
  <si>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</si>
  <si>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</si>
  <si>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</si>
  <si>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</si>
  <si>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</si>
  <si>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</si>
  <si>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</si>
  <si>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</si>
  <si>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</si>
  <si>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</si>
  <si>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</si>
  <si>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</si>
  <si>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</si>
  <si>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</si>
  <si>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</si>
  <si>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</si>
  <si>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</si>
  <si>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</si>
  <si>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</si>
  <si>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</si>
  <si>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</si>
  <si>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</si>
  <si>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</si>
  <si>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</si>
  <si>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</si>
  <si>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</si>
  <si>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</si>
  <si>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</si>
  <si>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</si>
  <si>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</si>
  <si>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</si>
  <si>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</si>
  <si>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</si>
  <si>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</si>
  <si>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</si>
  <si>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</si>
  <si>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</si>
  <si>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</si>
  <si>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</si>
  <si>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</si>
  <si>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</si>
  <si>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</si>
  <si>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</si>
  <si>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</si>
  <si>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</si>
  <si>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</si>
  <si>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</si>
  <si>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</si>
  <si>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</si>
  <si>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</si>
  <si>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</si>
  <si>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</si>
  <si>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</si>
  <si>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</si>
  <si>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</si>
  <si>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</si>
  <si>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</si>
  <si>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</si>
  <si>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</si>
  <si>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</si>
  <si>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</si>
  <si>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</si>
  <si>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</si>
  <si>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</si>
  <si>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</si>
  <si>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</si>
  <si>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</si>
  <si>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</si>
  <si>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</si>
  <si>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</si>
  <si>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</si>
  <si>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</si>
  <si>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</si>
  <si>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</si>
  <si>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</si>
  <si>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</si>
  <si>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</si>
  <si>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</si>
  <si>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</si>
  <si>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</si>
  <si>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</si>
  <si>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</si>
  <si>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</si>
  <si>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</si>
  <si>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</si>
  <si>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</si>
  <si>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</si>
  <si>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</si>
  <si>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</si>
  <si>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</si>
  <si>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</si>
  <si>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</si>
  <si>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</si>
  <si>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</si>
  <si>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</si>
  <si>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</si>
  <si>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</si>
  <si>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</si>
  <si>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</si>
  <si>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</si>
  <si>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</si>
  <si>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</si>
  <si>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</si>
  <si>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</si>
  <si>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</si>
  <si>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</si>
  <si>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</si>
  <si>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</si>
  <si>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</si>
  <si>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</si>
  <si>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</si>
  <si>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</si>
  <si>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</si>
  <si>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</si>
  <si>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</si>
  <si>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</si>
  <si>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</si>
  <si>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</si>
  <si>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</si>
  <si>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</si>
  <si>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</si>
  <si>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</si>
  <si>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</si>
  <si>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</si>
  <si>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</si>
  <si>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</si>
  <si>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</si>
  <si>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</si>
  <si>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</si>
  <si>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</si>
  <si>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</si>
  <si>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</si>
  <si>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</si>
  <si>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</si>
  <si>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</si>
  <si>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</si>
  <si>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</si>
  <si>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</si>
  <si>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</si>
  <si>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</si>
  <si>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</si>
  <si>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</si>
  <si>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</si>
  <si>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</si>
  <si>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</si>
  <si>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</si>
  <si>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</si>
  <si>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</si>
  <si>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</si>
  <si>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</si>
  <si>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</si>
  <si>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</si>
  <si>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</si>
  <si>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</si>
  <si>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</si>
  <si>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</si>
  <si>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</si>
  <si>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</si>
  <si>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</si>
  <si>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</si>
  <si>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</si>
  <si>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</si>
  <si>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</si>
  <si>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</si>
  <si>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</si>
  <si>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</si>
  <si>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</si>
  <si>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</si>
  <si>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</si>
  <si>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</si>
  <si>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</si>
  <si>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</si>
  <si>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</si>
  <si>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</si>
  <si>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</si>
  <si>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</si>
  <si>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</si>
  <si>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</si>
  <si>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</si>
  <si>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</si>
  <si>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</si>
  <si>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</si>
  <si>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</si>
  <si>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</si>
  <si>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</si>
  <si>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</si>
  <si>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</si>
  <si>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</si>
  <si>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</si>
  <si>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</si>
  <si>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</si>
  <si>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</si>
  <si>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</si>
  <si>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</si>
  <si>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</si>
  <si>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</si>
  <si>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</si>
  <si>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</si>
  <si>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</si>
  <si>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</si>
  <si>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</si>
  <si>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</si>
  <si>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</si>
  <si>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</si>
  <si>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</si>
  <si>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</si>
  <si>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</si>
  <si>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</si>
  <si>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</si>
  <si>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</si>
  <si>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</si>
  <si>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</si>
  <si>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</si>
  <si>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</si>
  <si>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</si>
  <si>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</si>
  <si>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</si>
  <si>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</si>
  <si>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</si>
  <si>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</si>
  <si>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</si>
  <si>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</si>
  <si>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</si>
  <si>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</si>
  <si>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</si>
  <si>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</si>
  <si>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</si>
  <si>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</si>
  <si>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</si>
  <si>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</si>
  <si>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</si>
  <si>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</si>
  <si>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</si>
  <si>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</si>
  <si>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</si>
  <si>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</si>
  <si>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</si>
  <si>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</si>
  <si>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</si>
  <si>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</si>
  <si>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</si>
  <si>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</si>
  <si>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</si>
  <si>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</si>
  <si>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</si>
  <si>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</si>
  <si>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</si>
  <si>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</si>
  <si>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</si>
  <si>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</si>
  <si>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</si>
  <si>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</si>
  <si>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</si>
  <si>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</si>
  <si>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</si>
  <si>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</si>
  <si>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</si>
  <si>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</si>
  <si>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</si>
  <si>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</si>
  <si>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</si>
  <si>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</si>
  <si>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</si>
  <si>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</si>
  <si>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</si>
  <si>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</si>
  <si>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</si>
  <si>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</si>
  <si>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</si>
  <si>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</si>
  <si>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</si>
  <si>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</si>
  <si>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</si>
  <si>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</si>
  <si>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</si>
  <si>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</si>
  <si>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</si>
  <si>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</si>
  <si>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</si>
  <si>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</si>
  <si>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</si>
  <si>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</si>
  <si>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</si>
  <si>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</si>
  <si>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</si>
  <si>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</si>
  <si>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</si>
  <si>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</si>
  <si>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</si>
  <si>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</si>
  <si>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</si>
  <si>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</si>
  <si>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</si>
  <si>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</si>
  <si>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</si>
  <si>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</si>
  <si>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</si>
  <si>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</si>
  <si>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</si>
  <si>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</si>
  <si>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</si>
  <si>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</si>
  <si>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</si>
  <si>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</si>
  <si>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</si>
  <si>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</si>
  <si>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</si>
  <si>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</si>
  <si>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</si>
  <si>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</si>
  <si>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</si>
  <si>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</si>
  <si>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</si>
  <si>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</si>
  <si>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</si>
  <si>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</si>
  <si>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</si>
  <si>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</si>
  <si>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</si>
  <si>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</si>
  <si>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</si>
  <si>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</si>
  <si>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</si>
  <si>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</si>
  <si>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</si>
  <si>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</si>
  <si>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</si>
  <si>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</si>
  <si>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</si>
  <si>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</si>
  <si>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</si>
  <si>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</si>
  <si>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</si>
  <si>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</si>
  <si>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</si>
  <si>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</si>
  <si>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</si>
  <si>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</si>
  <si>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</si>
  <si>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</si>
  <si>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</si>
  <si>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</si>
  <si>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</si>
  <si>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</si>
  <si>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</si>
  <si>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</si>
  <si>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</si>
  <si>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</si>
  <si>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</si>
  <si>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</si>
  <si>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</si>
  <si>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</si>
  <si>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</si>
  <si>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</si>
  <si>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</si>
  <si>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</si>
  <si>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</si>
  <si>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</si>
  <si>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</si>
  <si>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</si>
  <si>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</si>
  <si>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</si>
  <si>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</si>
  <si>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</si>
  <si>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</si>
  <si>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</si>
  <si>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</si>
  <si>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</si>
  <si>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</si>
  <si>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</si>
  <si>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</si>
  <si>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</si>
  <si>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</si>
  <si>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</si>
  <si>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</si>
  <si>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</si>
  <si>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</si>
  <si>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</si>
  <si>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</si>
  <si>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</si>
  <si>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</si>
  <si>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</si>
  <si>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</si>
  <si>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</si>
  <si>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</si>
  <si>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</si>
  <si>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</si>
  <si>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</si>
  <si>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</si>
  <si>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</si>
  <si>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</si>
  <si>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</si>
  <si>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</si>
  <si>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</si>
  <si>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</si>
  <si>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</si>
  <si>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</si>
  <si>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</si>
  <si>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</si>
  <si>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</si>
  <si>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</si>
  <si>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</si>
  <si>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</si>
  <si>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</si>
  <si>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</si>
  <si>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</si>
  <si>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</si>
  <si>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</si>
  <si>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</si>
  <si>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</si>
  <si>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</si>
  <si>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</si>
  <si>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</si>
  <si>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</si>
  <si>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</si>
  <si>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</si>
  <si>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</si>
  <si>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</si>
  <si>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</si>
  <si>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</si>
  <si>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</si>
  <si>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</si>
  <si>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</si>
  <si>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</si>
  <si>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</si>
  <si>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</si>
  <si>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</si>
  <si>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</si>
  <si>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</si>
  <si>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</si>
  <si>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</si>
  <si>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</si>
  <si>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</si>
  <si>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</si>
  <si>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</si>
  <si>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</si>
  <si>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</si>
  <si>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</si>
  <si>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</si>
  <si>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</si>
  <si>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</si>
  <si>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</si>
  <si>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</si>
  <si>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</si>
  <si>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</si>
  <si>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</si>
  <si>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</si>
  <si>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</si>
  <si>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</si>
  <si>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</si>
  <si>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</si>
  <si>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</si>
  <si>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</si>
  <si>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</si>
  <si>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</si>
  <si>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</si>
  <si>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</si>
  <si>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</si>
  <si>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</si>
  <si>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</si>
  <si>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</si>
  <si>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</si>
  <si>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</si>
  <si>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</si>
  <si>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</si>
  <si>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</si>
  <si>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</si>
  <si>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</si>
  <si>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</si>
  <si>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</si>
  <si>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</si>
  <si>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</si>
  <si>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</si>
  <si>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</si>
  <si>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</si>
  <si>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</si>
  <si>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</si>
  <si>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</si>
  <si>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</si>
  <si>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</si>
  <si>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</si>
  <si>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</si>
  <si>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</si>
  <si>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</si>
  <si>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</si>
  <si>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</si>
  <si>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</si>
  <si>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</si>
  <si>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</si>
  <si>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</si>
  <si>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</si>
  <si>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</si>
  <si>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</si>
  <si>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</si>
  <si>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</si>
  <si>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</si>
  <si>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</si>
  <si>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</si>
  <si>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</si>
  <si>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</si>
  <si>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</si>
  <si>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</si>
  <si>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</si>
  <si>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</si>
  <si>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</si>
  <si>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</si>
  <si>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</si>
  <si>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</si>
  <si>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</si>
  <si>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</si>
  <si>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</si>
  <si>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</si>
  <si>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</si>
  <si>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</si>
  <si>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</si>
  <si>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</si>
  <si>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</si>
  <si>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</si>
  <si>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</si>
  <si>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</si>
  <si>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</si>
  <si>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</si>
  <si>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</si>
  <si>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</si>
  <si>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</si>
  <si>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</si>
  <si>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</si>
  <si>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</si>
  <si>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</si>
  <si>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</si>
  <si>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</si>
  <si>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</si>
  <si>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</si>
  <si>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</si>
  <si>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</si>
  <si>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</si>
  <si>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</si>
  <si>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</si>
  <si>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</si>
  <si>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</si>
  <si>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</si>
  <si>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</si>
  <si>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</si>
  <si>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</si>
  <si>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</si>
  <si>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</si>
  <si>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</si>
  <si>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</si>
  <si>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</si>
  <si>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</si>
  <si>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</si>
  <si>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</si>
  <si>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</si>
  <si>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</si>
  <si>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</si>
  <si>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</si>
  <si>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</si>
  <si>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</si>
  <si>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</si>
  <si>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</si>
  <si>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</si>
  <si>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</si>
  <si>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</si>
  <si>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</si>
  <si>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</si>
  <si>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</si>
  <si>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</si>
  <si>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</si>
  <si>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</si>
  <si>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</si>
  <si>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</si>
  <si>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</si>
  <si>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</si>
  <si>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</si>
  <si>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</si>
  <si>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</si>
  <si>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</si>
  <si>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</si>
  <si>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</si>
  <si>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</si>
  <si>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</si>
  <si>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</si>
  <si>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</si>
  <si>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</si>
  <si>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</si>
  <si>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</si>
  <si>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</si>
  <si>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</si>
  <si>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</si>
  <si>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</si>
  <si>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</si>
  <si>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</si>
  <si>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</si>
  <si>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</si>
  <si>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</si>
  <si>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</si>
  <si>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</si>
  <si>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</si>
  <si>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</si>
  <si>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</si>
  <si>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</si>
  <si>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</si>
  <si>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</si>
  <si>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</si>
  <si>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</si>
  <si>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</si>
  <si>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</si>
  <si>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</si>
  <si>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</si>
  <si>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</si>
  <si>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</si>
  <si>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</si>
  <si>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</si>
  <si>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</si>
  <si>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</si>
  <si>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</si>
  <si>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</si>
  <si>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</si>
  <si>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</si>
  <si>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</si>
  <si>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</si>
  <si>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</si>
  <si>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</si>
  <si>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</si>
  <si>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</si>
  <si>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</si>
  <si>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</si>
  <si>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</si>
  <si>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</si>
  <si>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</si>
  <si>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</si>
  <si>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</si>
  <si>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</si>
  <si>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</si>
  <si>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</si>
  <si>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</si>
  <si>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</si>
  <si>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</si>
  <si>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</si>
  <si>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</si>
  <si>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</si>
  <si>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</si>
  <si>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</si>
  <si>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</si>
  <si>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</si>
  <si>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</si>
  <si>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</si>
  <si>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</si>
  <si>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</si>
  <si>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</si>
  <si>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</si>
  <si>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</si>
  <si>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</si>
  <si>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</si>
  <si>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</si>
  <si>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</si>
  <si>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</si>
  <si>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</si>
  <si>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</si>
  <si>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</si>
  <si>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</si>
  <si>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</si>
  <si>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</si>
  <si>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</si>
  <si>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</si>
  <si>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</si>
  <si>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</si>
  <si>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</si>
  <si>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</si>
  <si>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</si>
  <si>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</si>
  <si>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</si>
  <si>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</si>
  <si>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</si>
  <si>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</si>
  <si>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</si>
  <si>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</si>
  <si>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</si>
  <si>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</si>
  <si>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</si>
  <si>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</si>
  <si>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</si>
  <si>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</si>
  <si>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</si>
  <si>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</si>
  <si>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</si>
  <si>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</si>
  <si>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</si>
  <si>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</si>
  <si>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</si>
  <si>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</si>
  <si>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</si>
  <si>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</si>
  <si>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</si>
  <si>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</si>
  <si>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</si>
  <si>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</si>
  <si>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</si>
  <si>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</si>
  <si>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</si>
  <si>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</si>
  <si>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</si>
  <si>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</si>
  <si>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</si>
  <si>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</si>
  <si>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</si>
  <si>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</si>
  <si>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</si>
  <si>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</si>
  <si>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</si>
  <si>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</si>
  <si>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</si>
  <si>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</si>
  <si>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</si>
  <si>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</si>
  <si>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</si>
  <si>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</si>
  <si>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</si>
  <si>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</si>
  <si>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</si>
  <si>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</si>
  <si>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</si>
  <si>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</si>
  <si>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</si>
  <si>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</si>
  <si>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</si>
  <si>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</si>
  <si>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</si>
  <si>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</si>
  <si>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</si>
  <si>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</si>
  <si>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</si>
  <si>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</si>
  <si>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</si>
  <si>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</si>
  <si>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</si>
  <si>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</si>
  <si>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</si>
  <si>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</si>
  <si>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</si>
  <si>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</si>
  <si>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</si>
  <si>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</si>
  <si>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</si>
  <si>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</si>
  <si>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</si>
  <si>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</si>
  <si>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</si>
  <si>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</si>
  <si>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</si>
  <si>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</si>
  <si>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</si>
  <si>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</si>
  <si>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</si>
  <si>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</si>
  <si>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</si>
  <si>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</si>
  <si>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</si>
  <si>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</si>
  <si>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</si>
  <si>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</si>
  <si>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</si>
  <si>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</si>
  <si>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</si>
  <si>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</si>
  <si>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</si>
  <si>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</si>
  <si>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</si>
  <si>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</si>
  <si>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</si>
  <si>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</si>
  <si>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</si>
  <si>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</si>
  <si>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</si>
  <si>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</si>
  <si>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</si>
  <si>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</si>
  <si>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</si>
  <si>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</si>
  <si>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</si>
  <si>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</si>
  <si>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</si>
  <si>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</si>
  <si>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</si>
  <si>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</si>
  <si>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</si>
  <si>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</si>
  <si>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</si>
  <si>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</si>
  <si>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</si>
  <si>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</si>
  <si>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</si>
  <si>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</si>
  <si>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</si>
  <si>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</si>
  <si>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</si>
  <si>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</si>
  <si>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</si>
  <si>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</si>
  <si>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</si>
  <si>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</si>
  <si>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</si>
  <si>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</si>
  <si>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</si>
  <si>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</si>
  <si>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</si>
  <si>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</si>
  <si>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</si>
  <si>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</si>
  <si>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</si>
  <si>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</si>
  <si>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</si>
  <si>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</si>
  <si>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</si>
  <si>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</si>
  <si>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</si>
  <si>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</si>
  <si>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</si>
  <si>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</si>
  <si>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</si>
  <si>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</si>
  <si>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</si>
  <si>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</si>
  <si>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</si>
  <si>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</si>
  <si>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</si>
  <si>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</si>
  <si>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</si>
  <si>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</si>
  <si>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</si>
  <si>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</si>
  <si>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</si>
  <si>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</si>
  <si>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</si>
  <si>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</si>
  <si>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</si>
  <si>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</si>
  <si>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</si>
  <si>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</si>
  <si>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</si>
  <si>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</si>
  <si>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</si>
  <si>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</si>
  <si>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</si>
  <si>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</si>
  <si>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</si>
  <si>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</si>
  <si>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</si>
  <si>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</si>
  <si>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</si>
  <si>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</si>
  <si>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</si>
  <si>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</si>
  <si>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</si>
  <si>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</si>
  <si>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</si>
  <si>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</si>
  <si>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</si>
  <si>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</si>
  <si>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</si>
  <si>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</si>
  <si>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</si>
  <si>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</si>
  <si>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</si>
  <si>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</si>
  <si>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</si>
  <si>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</si>
  <si>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</si>
  <si>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</si>
  <si>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</si>
  <si>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</si>
  <si>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</si>
  <si>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</si>
  <si>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</si>
  <si>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</si>
  <si>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</si>
  <si>
    <t>Réévaluation du patrimoine administratif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</si>
</sst>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49A-406F-A6FC-3AF04B63FF1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49A-406F-A6FC-3AF04B63FF1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49A-406F-A6FC-3AF04B63FF1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49A-406F-A6FC-3AF04B63FF1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49A-406F-A6FC-3AF04B63FF1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49A-406F-A6FC-3AF04B63FF1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49A-406F-A6FC-3AF04B63FF1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49A-406F-A6FC-3AF04B63FF1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49A-406F-A6FC-3AF04B63FF1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F49A-406F-A6FC-3AF04B63FF1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0EA0-4767-9DBA-AFA1376F0524}"/>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BE-41AD-BFC2-A354E4212B0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B31-43D9-AE23-A38D8CC0F9C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B31-43D9-AE23-A38D8CC0F9C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B31-43D9-AE23-A38D8CC0F9C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B31-43D9-AE23-A38D8CC0F9C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B31-43D9-AE23-A38D8CC0F9C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B31-43D9-AE23-A38D8CC0F9C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B31-43D9-AE23-A38D8CC0F9C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B31-43D9-AE23-A38D8CC0F9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2BE-41AD-BFC2-A354E4212B0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Endettement</a:t>
            </a:r>
            <a:r>
              <a:rPr lang="fr-CH" baseline="0"/>
              <a:t> brut, en francs par habitant (31.12.2022)</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overflow" horzOverflow="overflow" vert="horz" wrap="square" lIns="38100" tIns="19050" rIns="38100" bIns="19050" anchor="t" anchorCtr="0">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8C8C-46A0-B325-A33981CB5BD6}"/>
            </c:ext>
          </c:extLst>
        </c:ser>
        <c:dLbls>
          <c:showLegendKey val="0"/>
          <c:showVal val="0"/>
          <c:showCatName val="0"/>
          <c:showSerName val="0"/>
          <c:showPercent val="0"/>
          <c:showBubbleSize val="0"/>
        </c:dLbls>
        <c:gapWidth val="74"/>
        <c:overlap val="-27"/>
        <c:axId val="837210920"/>
        <c:axId val="837209608"/>
      </c:barChart>
      <c:catAx>
        <c:axId val="837210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09608"/>
        <c:crosses val="autoZero"/>
        <c:auto val="1"/>
        <c:lblAlgn val="ctr"/>
        <c:lblOffset val="100"/>
        <c:noMultiLvlLbl val="0"/>
      </c:catAx>
      <c:valAx>
        <c:axId val="837209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109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layout>
        <c:manualLayout>
          <c:xMode val="edge"/>
          <c:yMode val="edge"/>
          <c:x val="0.41284411120964831"/>
          <c:y val="1.972872740905367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8-482F-B20A-88678C1812C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8-482F-B20A-88678C1812C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8-482F-B20A-88678C1812C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8-482F-B20A-88678C1812C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8-482F-B20A-88678C1812C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8-482F-B20A-88678C1812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7E8-482F-B20A-88678C1812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7E8-482F-B20A-88678C1812C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7E8-482F-B20A-88678C1812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A73F-4037-8B0E-48AA0E3599D9}"/>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E7-40D2-BC16-DBF7D200689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E7-40D2-BC16-DBF7D200689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CE7-40D2-BC16-DBF7D200689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CE7-40D2-BC16-DBF7D20068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CE7-40D2-BC16-DBF7D200689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CE7-40D2-BC16-DBF7D200689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CE7-40D2-BC16-DBF7D200689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CE7-40D2-BC16-DBF7D200689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CE7-40D2-BC16-DBF7D200689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CE7-40D2-BC16-DBF7D200689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15A7-4CA9-8A0E-539A6D4010B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2C-4439-B66D-2B34B679AA7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2C-4439-B66D-2B34B679AA7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B2C-4439-B66D-2B34B679AA7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B2C-4439-B66D-2B34B679AA7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B2C-4439-B66D-2B34B679AA7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B2C-4439-B66D-2B34B679AA7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B2C-4439-B66D-2B34B679AA7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B2C-4439-B66D-2B34B679AA7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2C-4439-B66D-2B34B679AA7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B2C-4439-B66D-2B34B679AA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F686-467E-ADA4-8BFE928D97B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4</xdr:row>
      <xdr:rowOff>4762</xdr:rowOff>
    </xdr:from>
    <xdr:to>
      <xdr:col>24</xdr:col>
      <xdr:colOff>761999</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4761</xdr:colOff>
      <xdr:row>25</xdr:row>
      <xdr:rowOff>14286</xdr:rowOff>
    </xdr:from>
    <xdr:to>
      <xdr:col>25</xdr:col>
      <xdr:colOff>9524</xdr:colOff>
      <xdr:row>46</xdr:row>
      <xdr:rowOff>9524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4140</xdr:colOff>
      <xdr:row>24</xdr:row>
      <xdr:rowOff>7453</xdr:rowOff>
    </xdr:from>
    <xdr:to>
      <xdr:col>15</xdr:col>
      <xdr:colOff>8283</xdr:colOff>
      <xdr:row>44</xdr:row>
      <xdr:rowOff>182216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12423</xdr:colOff>
      <xdr:row>46</xdr:row>
      <xdr:rowOff>7453</xdr:rowOff>
    </xdr:from>
    <xdr:to>
      <xdr:col>15</xdr:col>
      <xdr:colOff>8282</xdr:colOff>
      <xdr:row>67</xdr:row>
      <xdr:rowOff>16564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35</xdr:row>
      <xdr:rowOff>176211</xdr:rowOff>
    </xdr:from>
    <xdr:to>
      <xdr:col>9</xdr:col>
      <xdr:colOff>1</xdr:colOff>
      <xdr:row>56</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57</xdr:row>
      <xdr:rowOff>4761</xdr:rowOff>
    </xdr:from>
    <xdr:to>
      <xdr:col>15</xdr:col>
      <xdr:colOff>752475</xdr:colOff>
      <xdr:row>79</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C43"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2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topLeftCell="A31"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Q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52"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8">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8">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8">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8">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8">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8">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8">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8">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8">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8">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8">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8">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8">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8">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8">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8">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8">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7"/>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row r="178" spans="1:4" ht="15" x14ac:dyDescent="0.25">
      <c r="D178" s="89" t="s">
        <v>450</v>
      </c>
    </row>
    <row r="179" spans="1:4" x14ac:dyDescent="0.2">
      <c r="A179" s="8">
        <v>3</v>
      </c>
      <c r="B179" s="8">
        <v>31</v>
      </c>
      <c r="C179" s="8">
        <v>3180</v>
      </c>
      <c r="D179" s="8" t="s">
        <v>95</v>
      </c>
    </row>
    <row r="180" spans="1:4" x14ac:dyDescent="0.2">
      <c r="B180" s="8">
        <v>36</v>
      </c>
      <c r="C180" s="8">
        <v>36227</v>
      </c>
      <c r="D180" s="8" t="s">
        <v>286</v>
      </c>
    </row>
    <row r="181" spans="1:4" x14ac:dyDescent="0.2">
      <c r="C181" s="8">
        <v>36228</v>
      </c>
      <c r="D181" s="8" t="s">
        <v>287</v>
      </c>
    </row>
    <row r="182" spans="1:4" x14ac:dyDescent="0.2">
      <c r="B182" s="8">
        <v>38</v>
      </c>
      <c r="C182" s="8">
        <v>3898</v>
      </c>
      <c r="D182" s="8" t="s">
        <v>227</v>
      </c>
    </row>
    <row r="184" spans="1:4" x14ac:dyDescent="0.2">
      <c r="A184" s="8">
        <v>4</v>
      </c>
      <c r="B184" s="8">
        <v>44</v>
      </c>
      <c r="C184" s="8">
        <v>4490</v>
      </c>
      <c r="D184" s="8" t="s">
        <v>882</v>
      </c>
    </row>
    <row r="185" spans="1:4" x14ac:dyDescent="0.2">
      <c r="B185" s="8">
        <v>46</v>
      </c>
      <c r="C185" s="8">
        <v>46227</v>
      </c>
      <c r="D185" s="8" t="s">
        <v>286</v>
      </c>
    </row>
    <row r="186" spans="1:4" x14ac:dyDescent="0.2">
      <c r="C186" s="8">
        <v>46228</v>
      </c>
      <c r="D186" s="8" t="s">
        <v>287</v>
      </c>
    </row>
    <row r="187" spans="1:4" x14ac:dyDescent="0.2">
      <c r="B187" s="8">
        <v>48</v>
      </c>
      <c r="C187" s="8">
        <v>4896</v>
      </c>
      <c r="D187" s="8" t="s">
        <v>575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I17"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I13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108366.75</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35484135.729999997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553.6</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5574596.3400000008</v>
      </c>
      <c r="AG6" s="8">
        <v>3</v>
      </c>
    </row>
    <row r="7" spans="1:33" x14ac:dyDescent="0.2">
      <c r="C7" s="8">
        <v>300</v>
      </c>
      <c r="D7" s="8" t="s">
        <v>80</v>
      </c>
      <c r="E7" s="13">
        <v>10160</v>
      </c>
      <c r="F7" s="13">
        <v>19200</v>
      </c>
      <c r="G7" s="13">
        <v>1250</v>
      </c>
      <c r="H7" s="13">
        <v>32910.5</v>
      </c>
      <c r="I7" s="13">
        <v>0</v>
      </c>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v>0</v>
      </c>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v>0</v>
      </c>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v>0</v>
      </c>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v>0</v>
      </c>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v>0</v>
      </c>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v>553.6</v>
      </c>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90342.599999999991</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46293.15</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16136431.019999998</v>
      </c>
      <c r="AG16" s="8">
        <v>13</v>
      </c>
    </row>
    <row r="17" spans="2:33" x14ac:dyDescent="0.2">
      <c r="C17" s="8">
        <v>310</v>
      </c>
      <c r="D17" s="8" t="s">
        <v>88</v>
      </c>
      <c r="E17" s="13">
        <v>132603.70000000001</v>
      </c>
      <c r="F17" s="13">
        <v>321247</v>
      </c>
      <c r="G17" s="13">
        <v>233.95</v>
      </c>
      <c r="H17" s="13">
        <v>65434.05</v>
      </c>
      <c r="I17" s="13">
        <v>0</v>
      </c>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v>0</v>
      </c>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v>0</v>
      </c>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v>46293.15</v>
      </c>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7298084.3899999978</v>
      </c>
      <c r="AG20" s="8">
        <v>17</v>
      </c>
    </row>
    <row r="21" spans="2:33" x14ac:dyDescent="0.2">
      <c r="C21" s="8">
        <v>314</v>
      </c>
      <c r="D21" s="8" t="s">
        <v>841</v>
      </c>
      <c r="E21" s="13">
        <v>57237.47</v>
      </c>
      <c r="F21" s="13">
        <v>102182.1</v>
      </c>
      <c r="G21" s="13">
        <v>5392.95</v>
      </c>
      <c r="H21" s="13">
        <v>582291.9</v>
      </c>
      <c r="I21" s="13">
        <v>0</v>
      </c>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v>0</v>
      </c>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v>0</v>
      </c>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v>0</v>
      </c>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v>0</v>
      </c>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v>0</v>
      </c>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61520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6070272.6399999997</v>
      </c>
      <c r="AG28" s="8">
        <v>25</v>
      </c>
    </row>
    <row r="29" spans="2:33" x14ac:dyDescent="0.2">
      <c r="C29" s="8">
        <v>330</v>
      </c>
      <c r="D29" s="8" t="s">
        <v>99</v>
      </c>
      <c r="E29" s="13">
        <v>66900</v>
      </c>
      <c r="F29" s="13">
        <v>3112537.13</v>
      </c>
      <c r="G29" s="13">
        <v>20300</v>
      </c>
      <c r="H29" s="13">
        <v>280400</v>
      </c>
      <c r="I29" s="13">
        <v>61520</v>
      </c>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6049090.79</v>
      </c>
      <c r="AG29" s="8">
        <v>26</v>
      </c>
    </row>
    <row r="30" spans="2:33" x14ac:dyDescent="0.2">
      <c r="C30" s="8">
        <v>332</v>
      </c>
      <c r="D30" s="8" t="s">
        <v>98</v>
      </c>
      <c r="E30" s="13">
        <v>0</v>
      </c>
      <c r="F30" s="13">
        <v>17131.849999999999</v>
      </c>
      <c r="G30" s="13">
        <v>0</v>
      </c>
      <c r="H30" s="13">
        <v>0</v>
      </c>
      <c r="I30" s="13">
        <v>0</v>
      </c>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v>0</v>
      </c>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v>0</v>
      </c>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v>0</v>
      </c>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v>0</v>
      </c>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v>0</v>
      </c>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v>0</v>
      </c>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v>0</v>
      </c>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v>0</v>
      </c>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v>0</v>
      </c>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v>0</v>
      </c>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v>0</v>
      </c>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v>0</v>
      </c>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v>0</v>
      </c>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v>0</v>
      </c>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v>0</v>
      </c>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v>0</v>
      </c>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108366.75</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36100037.480000012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v>0</v>
      </c>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v>0</v>
      </c>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v>0</v>
      </c>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v>0</v>
      </c>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v>0</v>
      </c>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v>0</v>
      </c>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v>0</v>
      </c>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v>0</v>
      </c>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v>0</v>
      </c>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v>0</v>
      </c>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v>0</v>
      </c>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v>0</v>
      </c>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v>0</v>
      </c>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v>0</v>
      </c>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v>0</v>
      </c>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v>0</v>
      </c>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v>0</v>
      </c>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108366.75</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15067803.740000002</v>
      </c>
      <c r="AG122" s="8">
        <v>119</v>
      </c>
    </row>
    <row r="123" spans="2:33"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v>108366.75</v>
      </c>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14364318.150000002</v>
      </c>
      <c r="AG124" s="8">
        <v>121</v>
      </c>
    </row>
    <row r="125" spans="2:33"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v>0</v>
      </c>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v>0</v>
      </c>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v>0</v>
      </c>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v>0</v>
      </c>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v>0</v>
      </c>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v>0</v>
      </c>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v>0</v>
      </c>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v>0</v>
      </c>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108366.75</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32266496.549999997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108366.75</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32927407.500000004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65</v>
      </c>
    </row>
    <row r="7" spans="1:5" ht="15" x14ac:dyDescent="0.25">
      <c r="E7" s="33" t="s">
        <v>201</v>
      </c>
    </row>
    <row r="8" spans="1:5" ht="20.25" x14ac:dyDescent="0.3">
      <c r="A8" s="11">
        <v>3</v>
      </c>
      <c r="B8" s="11"/>
      <c r="C8" s="11"/>
      <c r="D8" s="11" t="s">
        <v>60</v>
      </c>
      <c r="E8" s="97">
        <f>HLOOKUP($D$5,'Syndicats comptes 2022'!$E$4:$AF$168,2,0)</f>
        <v>35484135.729999997</v>
      </c>
    </row>
    <row r="9" spans="1:5" ht="15" x14ac:dyDescent="0.25">
      <c r="A9" s="79"/>
      <c r="B9" s="79">
        <v>30</v>
      </c>
      <c r="C9" s="79"/>
      <c r="D9" s="79" t="s">
        <v>61</v>
      </c>
      <c r="E9" s="80">
        <f>HLOOKUP($D$5,'Syndicats comptes 2022'!$E$4:$AF$168,3,0)</f>
        <v>5574596.3400000008</v>
      </c>
    </row>
    <row r="10" spans="1:5" x14ac:dyDescent="0.2">
      <c r="C10" s="8">
        <v>300</v>
      </c>
      <c r="D10" s="8" t="s">
        <v>80</v>
      </c>
      <c r="E10" s="13">
        <f>HLOOKUP($D$5,'Syndicats comptes 2022'!$E$4:$AF$168,4,0)</f>
        <v>273916.64999999997</v>
      </c>
    </row>
    <row r="11" spans="1:5" x14ac:dyDescent="0.2">
      <c r="C11" s="8">
        <v>301</v>
      </c>
      <c r="D11" s="8" t="s">
        <v>81</v>
      </c>
      <c r="E11" s="13">
        <f>HLOOKUP($D$5,'Syndicats comptes 2022'!$E$4:$AF$168,5,0)</f>
        <v>4229582.87</v>
      </c>
    </row>
    <row r="12" spans="1:5" x14ac:dyDescent="0.2">
      <c r="C12" s="8">
        <v>302</v>
      </c>
      <c r="D12" s="8" t="s">
        <v>82</v>
      </c>
      <c r="E12" s="13">
        <f>HLOOKUP($D$5,'Syndicats comptes 2022'!$E$4:$AF$168,6,0)</f>
        <v>0</v>
      </c>
    </row>
    <row r="13" spans="1:5" x14ac:dyDescent="0.2">
      <c r="C13" s="8">
        <v>303</v>
      </c>
      <c r="D13" s="8" t="s">
        <v>83</v>
      </c>
      <c r="E13" s="13">
        <f>HLOOKUP($D$5,'Syndicats comptes 2022'!$E$4:$AF$168,7,0)</f>
        <v>54593.65</v>
      </c>
    </row>
    <row r="14" spans="1:5" x14ac:dyDescent="0.2">
      <c r="C14" s="8">
        <v>304</v>
      </c>
      <c r="D14" s="8" t="s">
        <v>578</v>
      </c>
      <c r="E14" s="13">
        <f>HLOOKUP($D$5,'Syndicats comptes 2022'!$E$4:$AF$168,8,0)</f>
        <v>9850</v>
      </c>
    </row>
    <row r="15" spans="1:5" x14ac:dyDescent="0.2">
      <c r="C15" s="8">
        <v>305</v>
      </c>
      <c r="D15" s="8" t="s">
        <v>84</v>
      </c>
      <c r="E15" s="13">
        <f>HLOOKUP($D$5,'Syndicats comptes 2022'!$E$4:$AF$168,9,0)</f>
        <v>907978.02</v>
      </c>
    </row>
    <row r="16" spans="1:5" x14ac:dyDescent="0.2">
      <c r="C16" s="8">
        <v>306</v>
      </c>
      <c r="D16" s="8" t="s">
        <v>85</v>
      </c>
      <c r="E16" s="13">
        <f>HLOOKUP($D$5,'Syndicats comptes 2022'!$E$4:$AF$168,10,0)</f>
        <v>8332.5499999999993</v>
      </c>
    </row>
    <row r="17" spans="2:5" x14ac:dyDescent="0.2">
      <c r="C17" s="8">
        <v>309</v>
      </c>
      <c r="D17" s="8" t="s">
        <v>86</v>
      </c>
      <c r="E17" s="13">
        <f>HLOOKUP($D$5,'Syndicats comptes 2022'!$E$4:$AF$168,11,0)</f>
        <v>90342.599999999991</v>
      </c>
    </row>
    <row r="18" spans="2:5" x14ac:dyDescent="0.2">
      <c r="E18" s="13"/>
    </row>
    <row r="19" spans="2:5" ht="15" x14ac:dyDescent="0.25">
      <c r="B19" s="79">
        <v>31</v>
      </c>
      <c r="C19" s="79"/>
      <c r="D19" s="79" t="s">
        <v>87</v>
      </c>
      <c r="E19" s="80">
        <f>HLOOKUP($D$5,'Syndicats comptes 2022'!$E$4:$AF$168,13,0)</f>
        <v>16136431.019999998</v>
      </c>
    </row>
    <row r="20" spans="2:5" x14ac:dyDescent="0.2">
      <c r="C20" s="8">
        <v>310</v>
      </c>
      <c r="D20" s="8" t="s">
        <v>88</v>
      </c>
      <c r="E20" s="13">
        <f>HLOOKUP($D$5,'Syndicats comptes 2022'!$E$4:$AF$168,14,0)</f>
        <v>2099811.8000000003</v>
      </c>
    </row>
    <row r="21" spans="2:5" x14ac:dyDescent="0.2">
      <c r="C21" s="8">
        <v>311</v>
      </c>
      <c r="D21" s="8" t="s">
        <v>449</v>
      </c>
      <c r="E21" s="13">
        <f>HLOOKUP($D$5,'Syndicats comptes 2022'!$E$4:$AF$168,15,0)</f>
        <v>316906.31999999995</v>
      </c>
    </row>
    <row r="22" spans="2:5" x14ac:dyDescent="0.2">
      <c r="C22" s="8">
        <v>312</v>
      </c>
      <c r="D22" s="8" t="s">
        <v>90</v>
      </c>
      <c r="E22" s="13">
        <f>HLOOKUP($D$5,'Syndicats comptes 2022'!$E$4:$AF$168,16,0)</f>
        <v>2661530.84</v>
      </c>
    </row>
    <row r="23" spans="2:5" x14ac:dyDescent="0.2">
      <c r="C23" s="8">
        <v>313</v>
      </c>
      <c r="D23" s="8" t="s">
        <v>91</v>
      </c>
      <c r="E23" s="13">
        <f>HLOOKUP($D$5,'Syndicats comptes 2022'!$E$4:$AF$168,17,0)</f>
        <v>7298084.3899999978</v>
      </c>
    </row>
    <row r="24" spans="2:5" x14ac:dyDescent="0.2">
      <c r="C24" s="8">
        <v>314</v>
      </c>
      <c r="D24" s="8" t="s">
        <v>841</v>
      </c>
      <c r="E24" s="13">
        <f>HLOOKUP($D$5,'Syndicats comptes 2022'!$E$4:$AF$168,18,0)</f>
        <v>1629232.9399999997</v>
      </c>
    </row>
    <row r="25" spans="2:5" x14ac:dyDescent="0.2">
      <c r="C25" s="8">
        <v>315</v>
      </c>
      <c r="D25" s="8" t="s">
        <v>92</v>
      </c>
      <c r="E25" s="13">
        <f>HLOOKUP($D$5,'Syndicats comptes 2022'!$E$4:$AF$168,19,0)</f>
        <v>266637.67000000004</v>
      </c>
    </row>
    <row r="26" spans="2:5" x14ac:dyDescent="0.2">
      <c r="C26" s="8">
        <v>316</v>
      </c>
      <c r="D26" s="8" t="s">
        <v>93</v>
      </c>
      <c r="E26" s="13">
        <f>HLOOKUP($D$5,'Syndicats comptes 2022'!$E$4:$AF$168,20,0)</f>
        <v>804672.84000000008</v>
      </c>
    </row>
    <row r="27" spans="2:5" x14ac:dyDescent="0.2">
      <c r="C27" s="8">
        <v>317</v>
      </c>
      <c r="D27" s="8" t="s">
        <v>94</v>
      </c>
      <c r="E27" s="13">
        <f>HLOOKUP($D$5,'Syndicats comptes 2022'!$E$4:$AF$168,21,0)</f>
        <v>973628.11</v>
      </c>
    </row>
    <row r="28" spans="2:5" x14ac:dyDescent="0.2">
      <c r="C28" s="8">
        <v>318</v>
      </c>
      <c r="D28" s="8" t="s">
        <v>95</v>
      </c>
      <c r="E28" s="13">
        <f>HLOOKUP($D$5,'Syndicats comptes 2022'!$E$4:$AF$168,22,0)</f>
        <v>4314.6400000000003</v>
      </c>
    </row>
    <row r="29" spans="2:5" x14ac:dyDescent="0.2">
      <c r="C29" s="8">
        <v>319</v>
      </c>
      <c r="D29" s="8" t="s">
        <v>96</v>
      </c>
      <c r="E29" s="13">
        <f>HLOOKUP($D$5,'Syndicats comptes 2022'!$E$4:$AF$168,23,0)</f>
        <v>81611.47</v>
      </c>
    </row>
    <row r="30" spans="2:5" x14ac:dyDescent="0.2">
      <c r="E30" s="13"/>
    </row>
    <row r="31" spans="2:5" ht="15" x14ac:dyDescent="0.25">
      <c r="B31" s="79">
        <v>33</v>
      </c>
      <c r="C31" s="79"/>
      <c r="D31" s="79" t="s">
        <v>97</v>
      </c>
      <c r="E31" s="80">
        <f>HLOOKUP($D$5,'Syndicats comptes 2022'!$E$4:$AF$168,25,0)</f>
        <v>6070272.6399999997</v>
      </c>
    </row>
    <row r="32" spans="2:5" x14ac:dyDescent="0.2">
      <c r="C32" s="8">
        <v>330</v>
      </c>
      <c r="D32" s="8" t="s">
        <v>99</v>
      </c>
      <c r="E32" s="13">
        <f>HLOOKUP($D$5,'Syndicats comptes 2022'!$E$4:$AF$168,26,0)</f>
        <v>6049090.79</v>
      </c>
    </row>
    <row r="33" spans="2:5" x14ac:dyDescent="0.2">
      <c r="C33" s="8">
        <v>332</v>
      </c>
      <c r="D33" s="8" t="s">
        <v>98</v>
      </c>
      <c r="E33" s="13">
        <f>HLOOKUP($D$5,'Syndicats comptes 2022'!$E$4:$AF$168,27,0)</f>
        <v>21181.85</v>
      </c>
    </row>
    <row r="34" spans="2:5" x14ac:dyDescent="0.2">
      <c r="E34" s="13"/>
    </row>
    <row r="35" spans="2:5" ht="15" x14ac:dyDescent="0.25">
      <c r="B35" s="79">
        <v>34</v>
      </c>
      <c r="C35" s="79"/>
      <c r="D35" s="79" t="s">
        <v>100</v>
      </c>
      <c r="E35" s="80">
        <f>HLOOKUP($D$5,'Syndicats comptes 2022'!$E$4:$AF$168,29,0)</f>
        <v>687799.49</v>
      </c>
    </row>
    <row r="36" spans="2:5" x14ac:dyDescent="0.2">
      <c r="C36" s="8">
        <v>340</v>
      </c>
      <c r="D36" s="8" t="s">
        <v>101</v>
      </c>
      <c r="E36" s="13">
        <f>HLOOKUP($D$5,'Syndicats comptes 2022'!$E$4:$AF$168,30,0)</f>
        <v>586501.39</v>
      </c>
    </row>
    <row r="37" spans="2:5" x14ac:dyDescent="0.2">
      <c r="C37" s="8">
        <v>341</v>
      </c>
      <c r="D37" s="8" t="s">
        <v>102</v>
      </c>
      <c r="E37" s="13">
        <f>HLOOKUP($D$5,'Syndicats comptes 2022'!$E$4:$AF$168,31,0)</f>
        <v>515.70000000000005</v>
      </c>
    </row>
    <row r="38" spans="2:5" x14ac:dyDescent="0.2">
      <c r="C38" s="8">
        <v>342</v>
      </c>
      <c r="D38" s="8" t="s">
        <v>103</v>
      </c>
      <c r="E38" s="13">
        <f>HLOOKUP($D$5,'Syndicats comptes 2022'!$E$4:$AF$168,32,0)</f>
        <v>0</v>
      </c>
    </row>
    <row r="39" spans="2:5" x14ac:dyDescent="0.2">
      <c r="C39" s="8">
        <v>343</v>
      </c>
      <c r="D39" s="8" t="s">
        <v>104</v>
      </c>
      <c r="E39" s="13">
        <f>HLOOKUP($D$5,'Syndicats comptes 2022'!$E$4:$AF$168,33,0)</f>
        <v>90232.1</v>
      </c>
    </row>
    <row r="40" spans="2:5" x14ac:dyDescent="0.2">
      <c r="C40" s="8">
        <v>344</v>
      </c>
      <c r="D40" s="8" t="s">
        <v>105</v>
      </c>
      <c r="E40" s="13">
        <f>HLOOKUP($D$5,'Syndicats comptes 2022'!$E$4:$AF$168,34,0)</f>
        <v>0</v>
      </c>
    </row>
    <row r="41" spans="2:5" x14ac:dyDescent="0.2">
      <c r="C41" s="8">
        <v>349</v>
      </c>
      <c r="D41" s="8" t="s">
        <v>106</v>
      </c>
      <c r="E41" s="13">
        <f>HLOOKUP($D$5,'Syndicats comptes 2022'!$E$4:$AF$168,35,0)</f>
        <v>10550.300000000001</v>
      </c>
    </row>
    <row r="42" spans="2:5" x14ac:dyDescent="0.2">
      <c r="E42" s="13"/>
    </row>
    <row r="43" spans="2:5" ht="15" x14ac:dyDescent="0.25">
      <c r="B43" s="79">
        <v>35</v>
      </c>
      <c r="C43" s="79"/>
      <c r="D43" s="79" t="s">
        <v>108</v>
      </c>
      <c r="E43" s="80">
        <f>HLOOKUP($D$5,'Syndicats comptes 2022'!$E$4:$AF$168,37,0)</f>
        <v>2095602.33</v>
      </c>
    </row>
    <row r="44" spans="2:5" x14ac:dyDescent="0.2">
      <c r="C44" s="8">
        <v>350</v>
      </c>
      <c r="D44" s="8" t="s">
        <v>108</v>
      </c>
      <c r="E44" s="13">
        <f>HLOOKUP($D$5,'Syndicats comptes 2022'!$E$4:$AF$168,38,0)</f>
        <v>200000</v>
      </c>
    </row>
    <row r="45" spans="2:5" x14ac:dyDescent="0.2">
      <c r="C45" s="8">
        <v>351</v>
      </c>
      <c r="D45" s="8" t="s">
        <v>107</v>
      </c>
      <c r="E45" s="13">
        <f>HLOOKUP($D$5,'Syndicats comptes 2022'!$E$4:$AF$168,39,0)</f>
        <v>1895602.33</v>
      </c>
    </row>
    <row r="46" spans="2:5" x14ac:dyDescent="0.2">
      <c r="E46" s="13"/>
    </row>
    <row r="47" spans="2:5" ht="15" x14ac:dyDescent="0.25">
      <c r="B47" s="79">
        <v>36</v>
      </c>
      <c r="C47" s="79"/>
      <c r="D47" s="79" t="s">
        <v>109</v>
      </c>
      <c r="E47" s="80">
        <f>HLOOKUP($D$5,'Syndicats comptes 2022'!$E$4:$AF$168,41,0)</f>
        <v>2389594.2199999997</v>
      </c>
    </row>
    <row r="48" spans="2:5" x14ac:dyDescent="0.2">
      <c r="C48" s="8">
        <v>360</v>
      </c>
      <c r="D48" s="8" t="s">
        <v>110</v>
      </c>
      <c r="E48" s="13">
        <f>HLOOKUP($D$5,'Syndicats comptes 2022'!$E$4:$AF$168,42,0)</f>
        <v>390556</v>
      </c>
    </row>
    <row r="49" spans="2:5" x14ac:dyDescent="0.2">
      <c r="C49" s="8">
        <v>361</v>
      </c>
      <c r="D49" s="8" t="s">
        <v>111</v>
      </c>
      <c r="E49" s="13">
        <f>HLOOKUP($D$5,'Syndicats comptes 2022'!$E$4:$AF$168,43,0)</f>
        <v>1591274.47</v>
      </c>
    </row>
    <row r="50" spans="2:5" x14ac:dyDescent="0.2">
      <c r="C50" s="8">
        <v>362</v>
      </c>
      <c r="D50" s="8" t="s">
        <v>112</v>
      </c>
      <c r="E50" s="13">
        <f>HLOOKUP($D$5,'Syndicats comptes 2022'!$E$4:$AF$168,44,0)</f>
        <v>155.75</v>
      </c>
    </row>
    <row r="51" spans="2:5" x14ac:dyDescent="0.2">
      <c r="C51" s="8">
        <v>363</v>
      </c>
      <c r="D51" s="8" t="s">
        <v>113</v>
      </c>
      <c r="E51" s="13">
        <f>HLOOKUP($D$5,'Syndicats comptes 2022'!$E$4:$AF$168,45,0)</f>
        <v>56950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350658</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2277000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2277000</v>
      </c>
    </row>
    <row r="67" spans="1:5" x14ac:dyDescent="0.2">
      <c r="E67" s="13"/>
    </row>
    <row r="68" spans="1:5" ht="15" x14ac:dyDescent="0.25">
      <c r="B68" s="79">
        <v>39</v>
      </c>
      <c r="C68" s="79"/>
      <c r="D68" s="79" t="s">
        <v>127</v>
      </c>
      <c r="E68" s="80">
        <f>HLOOKUP($D$5,'Syndicats comptes 2022'!$E$4:$AF$168,62,0)</f>
        <v>252839.69</v>
      </c>
    </row>
    <row r="69" spans="1:5" x14ac:dyDescent="0.2">
      <c r="C69" s="8">
        <v>390</v>
      </c>
      <c r="D69" s="8" t="s">
        <v>128</v>
      </c>
      <c r="E69" s="13">
        <f>HLOOKUP($D$5,'Syndicats comptes 2022'!$E$4:$AF$168,63,0)</f>
        <v>0</v>
      </c>
    </row>
    <row r="70" spans="1:5" x14ac:dyDescent="0.2">
      <c r="C70" s="8">
        <v>391</v>
      </c>
      <c r="D70" s="8" t="s">
        <v>129</v>
      </c>
      <c r="E70" s="13">
        <f>HLOOKUP($D$5,'Syndicats comptes 2022'!$E$4:$AF$168,64,0)</f>
        <v>350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69144</v>
      </c>
    </row>
    <row r="74" spans="1:5" x14ac:dyDescent="0.2">
      <c r="C74" s="8">
        <v>395</v>
      </c>
      <c r="D74" s="8" t="s">
        <v>133</v>
      </c>
      <c r="E74" s="13">
        <f>HLOOKUP($D$5,'Syndicats comptes 2022'!$E$4:$AF$168,68,0)</f>
        <v>0</v>
      </c>
    </row>
    <row r="75" spans="1:5" x14ac:dyDescent="0.2">
      <c r="C75" s="8">
        <v>398</v>
      </c>
      <c r="D75" s="8" t="s">
        <v>134</v>
      </c>
      <c r="E75" s="13">
        <f>HLOOKUP($D$5,'Syndicats comptes 2022'!$E$4:$AF$168,69,0)</f>
        <v>183345.69</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36100037.480000012</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16342360.950000003</v>
      </c>
    </row>
    <row r="93" spans="2:5" x14ac:dyDescent="0.2">
      <c r="C93" s="8">
        <v>420</v>
      </c>
      <c r="D93" s="8" t="s">
        <v>147</v>
      </c>
      <c r="E93" s="13">
        <f>HLOOKUP($D$5,'Syndicats comptes 2022'!$E$4:$AF$168,87,0)</f>
        <v>0</v>
      </c>
    </row>
    <row r="94" spans="2:5" x14ac:dyDescent="0.2">
      <c r="C94" s="8">
        <v>421</v>
      </c>
      <c r="D94" s="8" t="s">
        <v>148</v>
      </c>
      <c r="E94" s="13">
        <f>HLOOKUP($D$5,'Syndicats comptes 2022'!$E$4:$AF$168,88,0)</f>
        <v>13708.1</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13713653.130000003</v>
      </c>
    </row>
    <row r="98" spans="2:5" x14ac:dyDescent="0.2">
      <c r="C98" s="8">
        <v>425</v>
      </c>
      <c r="D98" s="8" t="s">
        <v>152</v>
      </c>
      <c r="E98" s="13">
        <f>HLOOKUP($D$5,'Syndicats comptes 2022'!$E$4:$AF$168,92,0)</f>
        <v>2014819.5</v>
      </c>
    </row>
    <row r="99" spans="2:5" x14ac:dyDescent="0.2">
      <c r="C99" s="8">
        <v>426</v>
      </c>
      <c r="D99" s="8" t="s">
        <v>153</v>
      </c>
      <c r="E99" s="13">
        <f>HLOOKUP($D$5,'Syndicats comptes 2022'!$E$4:$AF$168,93,0)</f>
        <v>568430.22</v>
      </c>
    </row>
    <row r="100" spans="2:5" x14ac:dyDescent="0.2">
      <c r="C100" s="8">
        <v>427</v>
      </c>
      <c r="D100" s="8" t="s">
        <v>154</v>
      </c>
      <c r="E100" s="13">
        <f>HLOOKUP($D$5,'Syndicats comptes 2022'!$E$4:$AF$168,94,0)</f>
        <v>695</v>
      </c>
    </row>
    <row r="101" spans="2:5" x14ac:dyDescent="0.2">
      <c r="C101" s="8">
        <v>429</v>
      </c>
      <c r="D101" s="8" t="s">
        <v>155</v>
      </c>
      <c r="E101" s="13">
        <f>HLOOKUP($D$5,'Syndicats comptes 2022'!$E$4:$AF$168,95,0)</f>
        <v>31055</v>
      </c>
    </row>
    <row r="102" spans="2:5" x14ac:dyDescent="0.2">
      <c r="E102" s="13"/>
    </row>
    <row r="103" spans="2:5" ht="15" x14ac:dyDescent="0.25">
      <c r="B103" s="81">
        <v>43</v>
      </c>
      <c r="C103" s="81"/>
      <c r="D103" s="81" t="s">
        <v>156</v>
      </c>
      <c r="E103" s="82">
        <f>HLOOKUP($D$5,'Syndicats comptes 2022'!$E$4:$AF$168,97,0)</f>
        <v>159257.41</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77060.510000000009</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12616.9</v>
      </c>
    </row>
    <row r="108" spans="2:5" x14ac:dyDescent="0.2">
      <c r="E108" s="13"/>
    </row>
    <row r="109" spans="2:5" ht="15" x14ac:dyDescent="0.25">
      <c r="B109" s="81">
        <v>44</v>
      </c>
      <c r="C109" s="81"/>
      <c r="D109" s="81" t="s">
        <v>161</v>
      </c>
      <c r="E109" s="82">
        <f>HLOOKUP($D$5,'Syndicats comptes 2022'!$E$4:$AF$168,103,0)</f>
        <v>901678.85000000009</v>
      </c>
    </row>
    <row r="110" spans="2:5" x14ac:dyDescent="0.2">
      <c r="C110" s="8">
        <v>440</v>
      </c>
      <c r="D110" s="8" t="s">
        <v>162</v>
      </c>
      <c r="E110" s="13">
        <f>HLOOKUP($D$5,'Syndicats comptes 2022'!$E$4:$AF$168,104,0)</f>
        <v>48377.21</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142400</v>
      </c>
    </row>
    <row r="114" spans="2:5" x14ac:dyDescent="0.2">
      <c r="C114" s="8">
        <v>444</v>
      </c>
      <c r="D114" s="8" t="s">
        <v>105</v>
      </c>
      <c r="E114" s="13">
        <f>HLOOKUP($D$5,'Syndicats comptes 2022'!$E$4:$AF$168,108,0)</f>
        <v>1219.95</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709681.69000000006</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1357985.4000000001</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1357985.4000000001</v>
      </c>
    </row>
    <row r="124" spans="2:5" x14ac:dyDescent="0.2">
      <c r="E124" s="13"/>
    </row>
    <row r="125" spans="2:5" ht="15" x14ac:dyDescent="0.25">
      <c r="B125" s="81">
        <v>46</v>
      </c>
      <c r="C125" s="81"/>
      <c r="D125" s="81" t="s">
        <v>174</v>
      </c>
      <c r="E125" s="82">
        <f>HLOOKUP($D$5,'Syndicats comptes 2022'!$E$4:$AF$168,119,0)</f>
        <v>15067803.740000002</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14364318.150000002</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692161.64</v>
      </c>
    </row>
    <row r="130" spans="2:5" x14ac:dyDescent="0.2">
      <c r="C130" s="8">
        <v>469</v>
      </c>
      <c r="D130" s="8" t="s">
        <v>178</v>
      </c>
      <c r="E130" s="13">
        <f>HLOOKUP($D$5,'Syndicats comptes 2022'!$E$4:$AF$168,124,0)</f>
        <v>11323.95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2071863.34</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2071863.34</v>
      </c>
    </row>
    <row r="143" spans="2:5" x14ac:dyDescent="0.2">
      <c r="E143" s="13"/>
    </row>
    <row r="144" spans="2:5" ht="15" x14ac:dyDescent="0.25">
      <c r="B144" s="81">
        <v>49</v>
      </c>
      <c r="C144" s="81"/>
      <c r="D144" s="81" t="s">
        <v>127</v>
      </c>
      <c r="E144" s="82">
        <f>HLOOKUP($D$5,'Syndicats comptes 2022'!$E$4:$AF$168,138,0)</f>
        <v>199087.79</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350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15392.1</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183345.69</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615901.75</v>
      </c>
    </row>
    <row r="158" spans="1:5" x14ac:dyDescent="0.2">
      <c r="C158" s="8">
        <v>900</v>
      </c>
      <c r="D158" s="8" t="s">
        <v>195</v>
      </c>
      <c r="E158" s="13">
        <f>HLOOKUP($D$5,'Syndicats comptes 2022'!$E$4:$AF$168,152,0)</f>
        <v>648651.24</v>
      </c>
    </row>
    <row r="159" spans="1:5" x14ac:dyDescent="0.2">
      <c r="C159" s="8">
        <v>901</v>
      </c>
      <c r="D159" s="8" t="s">
        <v>196</v>
      </c>
      <c r="E159" s="13">
        <f>HLOOKUP($D$5,'Syndicats comptes 2022'!$E$4:$AF$168,153,0)</f>
        <v>-32749.489999999998</v>
      </c>
    </row>
    <row r="160" spans="1:5" x14ac:dyDescent="0.2">
      <c r="E160" s="13"/>
    </row>
    <row r="161" spans="4:5" ht="15" x14ac:dyDescent="0.25">
      <c r="D161" s="7" t="s">
        <v>197</v>
      </c>
      <c r="E161" s="13">
        <f>HLOOKUP($D$5,'Syndicats comptes 2022'!$E$4:$AF$168,155,0)</f>
        <v>615901.75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790</v>
      </c>
    </row>
    <row r="9" spans="1:3" ht="15" x14ac:dyDescent="0.25">
      <c r="A9" s="100" t="s">
        <v>215</v>
      </c>
      <c r="B9" s="100" t="s">
        <v>200</v>
      </c>
      <c r="C9" s="100" t="s">
        <v>852</v>
      </c>
    </row>
    <row r="10" spans="1:3" x14ac:dyDescent="0.2">
      <c r="A10" s="101">
        <v>90</v>
      </c>
      <c r="B10" s="102" t="s">
        <v>217</v>
      </c>
      <c r="C10" s="103">
        <f>HLOOKUP($B$6,'Syndicats comptes 2022'!$E$4:$AF$169,151,0)</f>
        <v>0</v>
      </c>
    </row>
    <row r="11" spans="1:3" x14ac:dyDescent="0.2">
      <c r="A11" s="101">
        <v>900</v>
      </c>
      <c r="B11" s="102" t="s">
        <v>218</v>
      </c>
      <c r="C11" s="103">
        <f>HLOOKUP($B$6,'Syndicats comptes 2022'!$E$4:$AF$169,152,0)</f>
        <v>0</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32266496.549999997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790</v>
      </c>
    </row>
    <row r="8" spans="1:3" ht="15" x14ac:dyDescent="0.25">
      <c r="A8" s="100" t="s">
        <v>199</v>
      </c>
      <c r="B8" s="100" t="s">
        <v>200</v>
      </c>
      <c r="C8" s="100" t="s">
        <v>201</v>
      </c>
    </row>
    <row r="9" spans="1:3" x14ac:dyDescent="0.2">
      <c r="A9" s="101" t="s">
        <v>208</v>
      </c>
      <c r="B9" s="102" t="s">
        <v>202</v>
      </c>
      <c r="C9" s="103">
        <f>HLOOKUP($B$6,'Syndicats comptes 2022'!$E$4:$AF$168,164,0)</f>
        <v>108366.75</v>
      </c>
    </row>
    <row r="10" spans="1:3" x14ac:dyDescent="0.2">
      <c r="A10" s="101" t="s">
        <v>209</v>
      </c>
      <c r="B10" s="102" t="s">
        <v>203</v>
      </c>
      <c r="C10" s="103">
        <f>HLOOKUP($B$6,'Syndicats comptes 2022'!$E$4:$AF$168,165,0)</f>
        <v>108366.75</v>
      </c>
    </row>
    <row r="11" spans="1:3" ht="15" x14ac:dyDescent="0.25">
      <c r="A11" s="102"/>
      <c r="B11" s="104" t="s">
        <v>204</v>
      </c>
      <c r="C11" s="105">
        <f>C10-C9</f>
        <v>0</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0</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J20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915499.3</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161081988.28999999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125850.07</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40502191.099999994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17483.32</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22966020.910000004</v>
      </c>
      <c r="AH7" s="8">
        <v>4</v>
      </c>
    </row>
    <row r="8" spans="1:34" ht="15" x14ac:dyDescent="0.25">
      <c r="D8" s="8">
        <v>1000</v>
      </c>
      <c r="E8" s="8" t="s">
        <v>310</v>
      </c>
      <c r="F8" s="13">
        <v>0</v>
      </c>
      <c r="G8" s="13">
        <v>50.95</v>
      </c>
      <c r="H8" s="13">
        <v>0</v>
      </c>
      <c r="I8" s="13">
        <v>1967.7</v>
      </c>
      <c r="J8" s="13">
        <v>0</v>
      </c>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v>0</v>
      </c>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v>17483.32</v>
      </c>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21856632.720000003</v>
      </c>
      <c r="AH10" s="8">
        <v>7</v>
      </c>
    </row>
    <row r="11" spans="1:34" ht="15" x14ac:dyDescent="0.25">
      <c r="D11" s="8">
        <v>1003</v>
      </c>
      <c r="E11" s="8" t="s">
        <v>312</v>
      </c>
      <c r="F11" s="13">
        <v>0</v>
      </c>
      <c r="G11" s="13">
        <v>0</v>
      </c>
      <c r="H11" s="13">
        <v>0</v>
      </c>
      <c r="I11" s="13">
        <v>0</v>
      </c>
      <c r="J11" s="13">
        <v>0</v>
      </c>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108366.75</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3979777.62</v>
      </c>
      <c r="AH15" s="8">
        <v>12</v>
      </c>
    </row>
    <row r="16" spans="1:34" ht="15" x14ac:dyDescent="0.25">
      <c r="D16" s="8">
        <v>1010</v>
      </c>
      <c r="E16" s="8" t="s">
        <v>816</v>
      </c>
      <c r="F16" s="13">
        <v>0</v>
      </c>
      <c r="G16" s="13">
        <v>131500.70000000001</v>
      </c>
      <c r="H16" s="13">
        <v>750</v>
      </c>
      <c r="I16" s="13">
        <v>1736187.06</v>
      </c>
      <c r="J16" s="13">
        <v>108366.75</v>
      </c>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3604073.6</v>
      </c>
      <c r="AH16" s="8">
        <v>13</v>
      </c>
    </row>
    <row r="17" spans="3:34" ht="15" x14ac:dyDescent="0.25">
      <c r="D17" s="8">
        <v>1011</v>
      </c>
      <c r="E17" s="8" t="s">
        <v>396</v>
      </c>
      <c r="F17" s="13">
        <v>0</v>
      </c>
      <c r="G17" s="13">
        <v>0</v>
      </c>
      <c r="H17" s="13">
        <v>0</v>
      </c>
      <c r="I17" s="13">
        <v>0</v>
      </c>
      <c r="J17" s="13">
        <v>0</v>
      </c>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v>0</v>
      </c>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v>0</v>
      </c>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v>0</v>
      </c>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v>0</v>
      </c>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v>0</v>
      </c>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v>0</v>
      </c>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v>0</v>
      </c>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v>0</v>
      </c>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v>0</v>
      </c>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v>0</v>
      </c>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v>0</v>
      </c>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789649.23</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120579797.19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147932</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119436426.71000001</v>
      </c>
      <c r="AH69" s="8">
        <v>66</v>
      </c>
    </row>
    <row r="70" spans="2:34" ht="15" x14ac:dyDescent="0.25">
      <c r="D70" s="8">
        <v>1400</v>
      </c>
      <c r="E70" s="8" t="s">
        <v>354</v>
      </c>
      <c r="F70" s="13">
        <v>0</v>
      </c>
      <c r="G70" s="13">
        <v>0</v>
      </c>
      <c r="H70" s="13">
        <v>0</v>
      </c>
      <c r="I70" s="13">
        <v>0</v>
      </c>
      <c r="J70" s="13">
        <v>147932</v>
      </c>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193169</v>
      </c>
      <c r="AH70" s="8">
        <v>67</v>
      </c>
    </row>
    <row r="71" spans="2:34" ht="15" x14ac:dyDescent="0.25">
      <c r="D71" s="8">
        <v>1401</v>
      </c>
      <c r="E71" s="8" t="s">
        <v>355</v>
      </c>
      <c r="F71" s="13">
        <v>0</v>
      </c>
      <c r="G71" s="13">
        <v>0</v>
      </c>
      <c r="H71" s="13">
        <v>0</v>
      </c>
      <c r="I71" s="13">
        <v>321913.7</v>
      </c>
      <c r="J71" s="13">
        <v>0</v>
      </c>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v>0</v>
      </c>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v>0</v>
      </c>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v>0</v>
      </c>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v>0</v>
      </c>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v>0</v>
      </c>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v>0</v>
      </c>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641717.23</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1143368.4800000002</v>
      </c>
      <c r="AH80" s="8">
        <v>77</v>
      </c>
    </row>
    <row r="81" spans="3:34" ht="15" x14ac:dyDescent="0.25">
      <c r="D81" s="17">
        <v>1420</v>
      </c>
      <c r="E81" s="17" t="s">
        <v>363</v>
      </c>
      <c r="F81" s="13">
        <v>0</v>
      </c>
      <c r="G81" s="13">
        <v>0</v>
      </c>
      <c r="H81" s="13">
        <v>0</v>
      </c>
      <c r="I81" s="13">
        <v>14000</v>
      </c>
      <c r="J81" s="13">
        <v>0</v>
      </c>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v>0</v>
      </c>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v>641717.23</v>
      </c>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762719.33000000007</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v>0</v>
      </c>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v>0</v>
      </c>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v>0</v>
      </c>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915499.3</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161081988.29000002</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915499.3</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56072026.220000006</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54219.3</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5063414.0299999993</v>
      </c>
      <c r="AH123" s="8">
        <v>120</v>
      </c>
    </row>
    <row r="124" spans="1:34" ht="15" x14ac:dyDescent="0.25">
      <c r="D124" s="8">
        <v>2000</v>
      </c>
      <c r="E124" s="8" t="s">
        <v>395</v>
      </c>
      <c r="F124" s="13">
        <v>79417.45</v>
      </c>
      <c r="G124" s="13">
        <v>237516.81</v>
      </c>
      <c r="H124" s="13">
        <v>0</v>
      </c>
      <c r="I124" s="13">
        <v>1446373.59</v>
      </c>
      <c r="J124" s="13">
        <v>54219.3</v>
      </c>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3378283.4200000004</v>
      </c>
      <c r="AH124" s="8">
        <v>121</v>
      </c>
    </row>
    <row r="125" spans="1:34" ht="15" x14ac:dyDescent="0.25">
      <c r="D125" s="8">
        <v>2001</v>
      </c>
      <c r="E125" s="8" t="s">
        <v>396</v>
      </c>
      <c r="F125" s="13">
        <v>0</v>
      </c>
      <c r="G125" s="13">
        <v>-24132.799999999999</v>
      </c>
      <c r="H125" s="13">
        <v>0</v>
      </c>
      <c r="I125" s="13">
        <v>0</v>
      </c>
      <c r="J125" s="13">
        <v>0</v>
      </c>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v>0</v>
      </c>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v>0</v>
      </c>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v>0</v>
      </c>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v>0</v>
      </c>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v>0</v>
      </c>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v>0</v>
      </c>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v>0</v>
      </c>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v>0</v>
      </c>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v>0</v>
      </c>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v>0</v>
      </c>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v>0</v>
      </c>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v>0</v>
      </c>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v>0</v>
      </c>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861280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38438446.210000001</v>
      </c>
      <c r="AH165" s="8">
        <v>162</v>
      </c>
    </row>
    <row r="166" spans="3:34" ht="15" x14ac:dyDescent="0.25">
      <c r="D166" s="8">
        <v>2060</v>
      </c>
      <c r="E166" s="8" t="s">
        <v>422</v>
      </c>
      <c r="F166" s="13">
        <v>0</v>
      </c>
      <c r="G166" s="13">
        <v>0</v>
      </c>
      <c r="H166" s="13">
        <v>0</v>
      </c>
      <c r="I166" s="13">
        <v>0</v>
      </c>
      <c r="J166" s="13">
        <v>0</v>
      </c>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v>861280</v>
      </c>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35168366.210000001</v>
      </c>
      <c r="AH168" s="8">
        <v>165</v>
      </c>
    </row>
    <row r="169" spans="3:34" ht="15" x14ac:dyDescent="0.25">
      <c r="D169" s="8">
        <v>2064</v>
      </c>
      <c r="E169" s="8" t="s">
        <v>445</v>
      </c>
      <c r="F169" s="13">
        <v>0</v>
      </c>
      <c r="G169" s="13">
        <v>0</v>
      </c>
      <c r="H169" s="13">
        <v>0</v>
      </c>
      <c r="I169" s="13">
        <v>0</v>
      </c>
      <c r="J169" s="13">
        <v>0</v>
      </c>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v>0</v>
      </c>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v>0</v>
      </c>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v>0</v>
      </c>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v>0</v>
      </c>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v>0</v>
      </c>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v>0</v>
      </c>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v>0</v>
      </c>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v>0</v>
      </c>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v>0</v>
      </c>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v>0</v>
      </c>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v>0</v>
      </c>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65</v>
      </c>
    </row>
    <row r="8" spans="1:6" ht="20.25" x14ac:dyDescent="0.3">
      <c r="A8" s="118">
        <v>1</v>
      </c>
      <c r="B8" s="118"/>
      <c r="C8" s="118"/>
      <c r="D8" s="118"/>
      <c r="E8" s="118" t="s">
        <v>238</v>
      </c>
      <c r="F8" s="132">
        <f>HLOOKUP($E$5,'Syndicats Bilan'!$F$4:$AG$227,2,0)</f>
        <v>161081988.28999999</v>
      </c>
    </row>
    <row r="9" spans="1:6" ht="15" x14ac:dyDescent="0.25">
      <c r="A9" s="16"/>
      <c r="B9" s="120">
        <v>10</v>
      </c>
      <c r="C9" s="120"/>
      <c r="D9" s="120"/>
      <c r="E9" s="120" t="s">
        <v>239</v>
      </c>
      <c r="F9" s="121">
        <f>HLOOKUP($E$5,'Syndicats Bilan'!$F$4:$AG$227,3,0)</f>
        <v>40502191.099999994</v>
      </c>
    </row>
    <row r="10" spans="1:6" ht="15" x14ac:dyDescent="0.25">
      <c r="A10" s="17"/>
      <c r="B10" s="17"/>
      <c r="C10" s="89">
        <v>100</v>
      </c>
      <c r="D10" s="89"/>
      <c r="E10" s="89" t="s">
        <v>240</v>
      </c>
      <c r="F10" s="111">
        <f>HLOOKUP($E$5,'Syndicats Bilan'!$F$4:$AG$227,4,0)</f>
        <v>22966020.910000004</v>
      </c>
    </row>
    <row r="11" spans="1:6" x14ac:dyDescent="0.2">
      <c r="D11" s="8">
        <v>1000</v>
      </c>
      <c r="E11" s="8" t="s">
        <v>310</v>
      </c>
      <c r="F11" s="13">
        <f>HLOOKUP($E$5,'Syndicats Bilan'!$F$4:$AG$227,5,0)</f>
        <v>13713.060000000001</v>
      </c>
    </row>
    <row r="12" spans="1:6" x14ac:dyDescent="0.2">
      <c r="D12" s="8">
        <v>1001</v>
      </c>
      <c r="E12" s="8" t="s">
        <v>311</v>
      </c>
      <c r="F12" s="13">
        <f>HLOOKUP($E$5,'Syndicats Bilan'!$F$4:$AG$227,6,0)</f>
        <v>1071165.58</v>
      </c>
    </row>
    <row r="13" spans="1:6" x14ac:dyDescent="0.2">
      <c r="D13" s="8">
        <v>1002</v>
      </c>
      <c r="E13" s="8" t="s">
        <v>319</v>
      </c>
      <c r="F13" s="13">
        <f>HLOOKUP($E$5,'Syndicats Bilan'!$F$4:$AG$227,7,0)</f>
        <v>21856632.720000003</v>
      </c>
    </row>
    <row r="14" spans="1:6" x14ac:dyDescent="0.2">
      <c r="D14" s="8">
        <v>1003</v>
      </c>
      <c r="E14" s="8" t="s">
        <v>312</v>
      </c>
      <c r="F14" s="13">
        <f>HLOOKUP($E$5,'Syndicats Bilan'!$F$4:$AG$227,8,0)</f>
        <v>24509.55</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3979777.62</v>
      </c>
    </row>
    <row r="19" spans="1:6" x14ac:dyDescent="0.2">
      <c r="D19" s="8">
        <v>1010</v>
      </c>
      <c r="E19" s="8" t="s">
        <v>315</v>
      </c>
      <c r="F19" s="13">
        <f>HLOOKUP($E$5,'Syndicats Bilan'!$F$4:$AG$227,13,0)</f>
        <v>3604073.6</v>
      </c>
    </row>
    <row r="20" spans="1:6" x14ac:dyDescent="0.2">
      <c r="D20" s="8">
        <v>1011</v>
      </c>
      <c r="E20" s="8" t="s">
        <v>396</v>
      </c>
      <c r="F20" s="13">
        <f>HLOOKUP($E$5,'Syndicats Bilan'!$F$4:$AG$227,14,0)</f>
        <v>100796.76</v>
      </c>
    </row>
    <row r="21" spans="1:6" x14ac:dyDescent="0.2">
      <c r="D21" s="8">
        <v>1012</v>
      </c>
      <c r="E21" s="8" t="s">
        <v>316</v>
      </c>
      <c r="F21" s="13">
        <f>HLOOKUP($E$5,'Syndicats Bilan'!$F$4:$AG$227,15,0)</f>
        <v>0</v>
      </c>
    </row>
    <row r="22" spans="1:6" x14ac:dyDescent="0.2">
      <c r="D22" s="8">
        <v>1013</v>
      </c>
      <c r="E22" s="8" t="s">
        <v>317</v>
      </c>
      <c r="F22" s="13">
        <f>HLOOKUP($E$5,'Syndicats Bilan'!$F$4:$AG$227,16,0)</f>
        <v>274383.84000000003</v>
      </c>
    </row>
    <row r="23" spans="1:6" x14ac:dyDescent="0.2">
      <c r="D23" s="8">
        <v>1014</v>
      </c>
      <c r="E23" s="8" t="s">
        <v>318</v>
      </c>
      <c r="F23" s="13">
        <f>HLOOKUP($E$5,'Syndicats Bilan'!$F$4:$AG$227,17,0)</f>
        <v>-22081.53</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22604.949999999997</v>
      </c>
    </row>
    <row r="27" spans="1:6" x14ac:dyDescent="0.2">
      <c r="F27" s="13"/>
    </row>
    <row r="28" spans="1:6" ht="15" x14ac:dyDescent="0.25">
      <c r="C28" s="89">
        <v>102</v>
      </c>
      <c r="D28" s="89"/>
      <c r="E28" s="89" t="s">
        <v>242</v>
      </c>
      <c r="F28" s="111">
        <f>HLOOKUP($E$5,'Syndicats Bilan'!$F$4:$AG$227,22,0)</f>
        <v>282500</v>
      </c>
    </row>
    <row r="29" spans="1:6" x14ac:dyDescent="0.2">
      <c r="D29" s="8">
        <v>1020</v>
      </c>
      <c r="E29" s="8" t="s">
        <v>323</v>
      </c>
      <c r="F29" s="13">
        <f>HLOOKUP($E$5,'Syndicats Bilan'!$F$4:$AG$227,23,0)</f>
        <v>282500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2999011.7200000007</v>
      </c>
    </row>
    <row r="35" spans="3:6" x14ac:dyDescent="0.2">
      <c r="D35" s="8">
        <v>1040</v>
      </c>
      <c r="E35" s="8" t="s">
        <v>61</v>
      </c>
      <c r="F35" s="13">
        <f>HLOOKUP($E$5,'Syndicats Bilan'!$F$4:$AG$227,29,0)</f>
        <v>9114.64</v>
      </c>
    </row>
    <row r="36" spans="3:6" x14ac:dyDescent="0.2">
      <c r="D36" s="8">
        <v>1041</v>
      </c>
      <c r="E36" s="8" t="s">
        <v>327</v>
      </c>
      <c r="F36" s="13">
        <f>HLOOKUP($E$5,'Syndicats Bilan'!$F$4:$AG$227,30,0)</f>
        <v>2456775.3400000003</v>
      </c>
    </row>
    <row r="37" spans="3:6" x14ac:dyDescent="0.2">
      <c r="D37" s="8">
        <v>1042</v>
      </c>
      <c r="E37" s="8" t="s">
        <v>328</v>
      </c>
      <c r="F37" s="13">
        <f>HLOOKUP($E$5,'Syndicats Bilan'!$F$4:$AG$227,31,0)</f>
        <v>841.45</v>
      </c>
    </row>
    <row r="38" spans="3:6" x14ac:dyDescent="0.2">
      <c r="D38" s="8">
        <v>1043</v>
      </c>
      <c r="E38" s="8" t="s">
        <v>329</v>
      </c>
      <c r="F38" s="13">
        <f>HLOOKUP($E$5,'Syndicats Bilan'!$F$4:$AG$227,32,0)</f>
        <v>486371.38</v>
      </c>
    </row>
    <row r="39" spans="3:6" x14ac:dyDescent="0.2">
      <c r="D39" s="8">
        <v>1044</v>
      </c>
      <c r="E39" s="8" t="s">
        <v>330</v>
      </c>
      <c r="F39" s="13">
        <f>HLOOKUP($E$5,'Syndicats Bilan'!$F$4:$AG$227,33,0)</f>
        <v>37308.910000000003</v>
      </c>
    </row>
    <row r="40" spans="3:6" x14ac:dyDescent="0.2">
      <c r="D40" s="8">
        <v>1045</v>
      </c>
      <c r="E40" s="8" t="s">
        <v>331</v>
      </c>
      <c r="F40" s="13">
        <f>HLOOKUP($E$5,'Syndicats Bilan'!$F$4:$AG$227,34,0)</f>
        <v>8600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7275172.5</v>
      </c>
    </row>
    <row r="52" spans="3:6" x14ac:dyDescent="0.2">
      <c r="D52" s="8">
        <v>1070</v>
      </c>
      <c r="E52" s="8" t="s">
        <v>339</v>
      </c>
      <c r="F52" s="13">
        <f>HLOOKUP($E$5,'Syndicats Bilan'!$F$4:$AG$227,46,0)</f>
        <v>1172.5</v>
      </c>
    </row>
    <row r="53" spans="3:6" x14ac:dyDescent="0.2">
      <c r="D53" s="8">
        <v>1071</v>
      </c>
      <c r="E53" s="8" t="s">
        <v>340</v>
      </c>
      <c r="F53" s="13">
        <f>HLOOKUP($E$5,'Syndicats Bilan'!$F$4:$AG$227,47,0)</f>
        <v>7274000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2999708.35</v>
      </c>
    </row>
    <row r="58" spans="3:6" x14ac:dyDescent="0.2">
      <c r="D58" s="8">
        <v>1080</v>
      </c>
      <c r="E58" s="8" t="s">
        <v>344</v>
      </c>
      <c r="F58" s="13">
        <f>HLOOKUP($E$5,'Syndicats Bilan'!$F$4:$AG$227,52,0)</f>
        <v>257410</v>
      </c>
    </row>
    <row r="59" spans="3:6" x14ac:dyDescent="0.2">
      <c r="D59" s="8">
        <v>1084</v>
      </c>
      <c r="E59" s="8" t="s">
        <v>345</v>
      </c>
      <c r="F59" s="13">
        <f>HLOOKUP($E$5,'Syndicats Bilan'!$F$4:$AG$227,53,0)</f>
        <v>2319265.25</v>
      </c>
    </row>
    <row r="60" spans="3:6" x14ac:dyDescent="0.2">
      <c r="D60" s="8">
        <v>1086</v>
      </c>
      <c r="E60" s="8" t="s">
        <v>346</v>
      </c>
      <c r="F60" s="13">
        <f>HLOOKUP($E$5,'Syndicats Bilan'!$F$4:$AG$227,54,0)</f>
        <v>0</v>
      </c>
    </row>
    <row r="61" spans="3:6" x14ac:dyDescent="0.2">
      <c r="D61" s="8">
        <v>1087</v>
      </c>
      <c r="E61" s="8" t="s">
        <v>347</v>
      </c>
      <c r="F61" s="13">
        <f>HLOOKUP($E$5,'Syndicats Bilan'!$F$4:$AG$227,55,0)</f>
        <v>423033.1</v>
      </c>
    </row>
    <row r="62" spans="3:6" x14ac:dyDescent="0.2">
      <c r="D62" s="8">
        <v>1088</v>
      </c>
      <c r="E62" s="8" t="s">
        <v>348</v>
      </c>
      <c r="F62" s="13">
        <f>HLOOKUP($E$5,'Syndicats Bilan'!$F$4:$AG$227,6,0)</f>
        <v>1071165.58</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120579797.19</v>
      </c>
    </row>
    <row r="72" spans="2:6" ht="15" x14ac:dyDescent="0.25">
      <c r="C72" s="89">
        <v>140</v>
      </c>
      <c r="D72" s="89"/>
      <c r="E72" s="89" t="s">
        <v>248</v>
      </c>
      <c r="F72" s="111">
        <f>HLOOKUP($E$5,'Syndicats Bilan'!$F$4:$AG$227,66,0)</f>
        <v>119436426.71000001</v>
      </c>
    </row>
    <row r="73" spans="2:6" x14ac:dyDescent="0.2">
      <c r="D73" s="8">
        <v>1400</v>
      </c>
      <c r="E73" s="8" t="s">
        <v>354</v>
      </c>
      <c r="F73" s="13">
        <f>HLOOKUP($E$5,'Syndicats Bilan'!$F$4:$AG$227,67,0)</f>
        <v>193169</v>
      </c>
    </row>
    <row r="74" spans="2:6" x14ac:dyDescent="0.2">
      <c r="D74" s="8">
        <v>1401</v>
      </c>
      <c r="E74" s="8" t="s">
        <v>355</v>
      </c>
      <c r="F74" s="13">
        <f>HLOOKUP($E$5,'Syndicats Bilan'!$F$4:$AG$227,68,0)</f>
        <v>321913.7</v>
      </c>
    </row>
    <row r="75" spans="2:6" x14ac:dyDescent="0.2">
      <c r="D75" s="8">
        <v>1402</v>
      </c>
      <c r="E75" s="8" t="s">
        <v>356</v>
      </c>
      <c r="F75" s="13">
        <f>HLOOKUP($E$5,'Syndicats Bilan'!$F$4:$AG$227,69,0)</f>
        <v>75652.44</v>
      </c>
    </row>
    <row r="76" spans="2:6" x14ac:dyDescent="0.2">
      <c r="D76" s="8">
        <v>1403</v>
      </c>
      <c r="E76" s="8" t="s">
        <v>357</v>
      </c>
      <c r="F76" s="13">
        <f>HLOOKUP($E$5,'Syndicats Bilan'!$F$4:$AG$227,70,0)</f>
        <v>65172297.999999993</v>
      </c>
    </row>
    <row r="77" spans="2:6" x14ac:dyDescent="0.2">
      <c r="D77" s="8">
        <v>1404</v>
      </c>
      <c r="E77" s="8" t="s">
        <v>358</v>
      </c>
      <c r="F77" s="13">
        <f>HLOOKUP($E$5,'Syndicats Bilan'!$F$4:$AG$227,71,0)</f>
        <v>44275312.32</v>
      </c>
    </row>
    <row r="78" spans="2:6" x14ac:dyDescent="0.2">
      <c r="D78" s="8">
        <v>1405</v>
      </c>
      <c r="E78" s="8" t="s">
        <v>359</v>
      </c>
      <c r="F78" s="13">
        <f>HLOOKUP($E$5,'Syndicats Bilan'!$F$4:$AG$227,72,0)</f>
        <v>0</v>
      </c>
    </row>
    <row r="79" spans="2:6" x14ac:dyDescent="0.2">
      <c r="D79" s="8">
        <v>1406</v>
      </c>
      <c r="E79" s="8" t="s">
        <v>360</v>
      </c>
      <c r="F79" s="13">
        <f>HLOOKUP($E$5,'Syndicats Bilan'!$F$4:$AG$227,73,0)</f>
        <v>1614424.54</v>
      </c>
    </row>
    <row r="80" spans="2:6" x14ac:dyDescent="0.2">
      <c r="D80" s="8">
        <v>1407</v>
      </c>
      <c r="E80" s="8" t="s">
        <v>361</v>
      </c>
      <c r="F80" s="13">
        <f>HLOOKUP($E$5,'Syndicats Bilan'!$F$4:$AG$227,74,0)</f>
        <v>7783656.709999999</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1143368.4800000002</v>
      </c>
    </row>
    <row r="84" spans="3:6" x14ac:dyDescent="0.2">
      <c r="D84" s="17">
        <v>1420</v>
      </c>
      <c r="E84" s="17" t="s">
        <v>363</v>
      </c>
      <c r="F84" s="13">
        <f>HLOOKUP($E$5,'Syndicats Bilan'!$F$4:$AG$227,78,0)</f>
        <v>22144</v>
      </c>
    </row>
    <row r="85" spans="3:6" x14ac:dyDescent="0.2">
      <c r="D85" s="17">
        <v>1421</v>
      </c>
      <c r="E85" s="17" t="s">
        <v>364</v>
      </c>
      <c r="F85" s="13">
        <f>HLOOKUP($E$5,'Syndicats Bilan'!$F$4:$AG$227,79,0)</f>
        <v>0</v>
      </c>
    </row>
    <row r="86" spans="3:6" x14ac:dyDescent="0.2">
      <c r="D86" s="17">
        <v>1427</v>
      </c>
      <c r="E86" s="17" t="s">
        <v>576</v>
      </c>
      <c r="F86" s="13">
        <f>HLOOKUP($E$5,'Syndicats Bilan'!$F$4:$AG$227,80,0)</f>
        <v>358505.15</v>
      </c>
    </row>
    <row r="87" spans="3:6" x14ac:dyDescent="0.2">
      <c r="D87" s="17">
        <v>1429</v>
      </c>
      <c r="E87" s="17" t="s">
        <v>462</v>
      </c>
      <c r="F87" s="13">
        <f>HLOOKUP($E$5,'Syndicats Bilan'!$F$4:$AG$227,81,0)</f>
        <v>762719.33000000007</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2</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2</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161081988.29000002</v>
      </c>
    </row>
    <row r="125" spans="1:6" ht="15" x14ac:dyDescent="0.25">
      <c r="A125" s="7"/>
      <c r="B125" s="125">
        <v>20</v>
      </c>
      <c r="C125" s="125"/>
      <c r="D125" s="125"/>
      <c r="E125" s="125" t="s">
        <v>251</v>
      </c>
      <c r="F125" s="126">
        <f>HLOOKUP($E$5,'Syndicats Bilan'!$F$4:$AG$227,119,0)</f>
        <v>56072026.220000006</v>
      </c>
    </row>
    <row r="126" spans="1:6" ht="15" x14ac:dyDescent="0.25">
      <c r="C126" s="127">
        <v>200</v>
      </c>
      <c r="D126" s="127"/>
      <c r="E126" s="127" t="s">
        <v>252</v>
      </c>
      <c r="F126" s="128">
        <f>HLOOKUP($E$5,'Syndicats Bilan'!$F$4:$AG$227,120,0)</f>
        <v>5063414.0299999993</v>
      </c>
    </row>
    <row r="127" spans="1:6" x14ac:dyDescent="0.2">
      <c r="D127" s="8">
        <v>2000</v>
      </c>
      <c r="E127" s="8" t="s">
        <v>395</v>
      </c>
      <c r="F127" s="13">
        <f>HLOOKUP($E$5,'Syndicats Bilan'!$F$4:$AG$227,121,0)</f>
        <v>3378283.4200000004</v>
      </c>
    </row>
    <row r="128" spans="1:6" x14ac:dyDescent="0.2">
      <c r="D128" s="8">
        <v>2001</v>
      </c>
      <c r="E128" s="8" t="s">
        <v>396</v>
      </c>
      <c r="F128" s="13">
        <f>HLOOKUP($E$5,'Syndicats Bilan'!$F$4:$AG$227,122,0)</f>
        <v>-47620.99</v>
      </c>
    </row>
    <row r="129" spans="3:6" x14ac:dyDescent="0.2">
      <c r="D129" s="8">
        <v>2002</v>
      </c>
      <c r="E129" s="8" t="s">
        <v>397</v>
      </c>
      <c r="F129" s="13">
        <f>HLOOKUP($E$5,'Syndicats Bilan'!$F$4:$AG$227,123,0)</f>
        <v>-55834.649999999994</v>
      </c>
    </row>
    <row r="130" spans="3:6" x14ac:dyDescent="0.2">
      <c r="D130" s="8">
        <v>2003</v>
      </c>
      <c r="E130" s="8" t="s">
        <v>398</v>
      </c>
      <c r="F130" s="13">
        <f>HLOOKUP($E$5,'Syndicats Bilan'!$F$4:$AG$227,124,0)</f>
        <v>0</v>
      </c>
    </row>
    <row r="131" spans="3:6" x14ac:dyDescent="0.2">
      <c r="D131" s="8">
        <v>2004</v>
      </c>
      <c r="E131" s="8" t="s">
        <v>399</v>
      </c>
      <c r="F131" s="13">
        <f>HLOOKUP($E$5,'Syndicats Bilan'!$F$4:$AG$227,125,0)</f>
        <v>1396746.3</v>
      </c>
    </row>
    <row r="132" spans="3:6" x14ac:dyDescent="0.2">
      <c r="D132" s="8">
        <v>2005</v>
      </c>
      <c r="E132" s="8" t="s">
        <v>320</v>
      </c>
      <c r="F132" s="13">
        <f>HLOOKUP($E$5,'Syndicats Bilan'!$F$4:$AG$227,126,0)</f>
        <v>290832.68</v>
      </c>
    </row>
    <row r="133" spans="3:6" x14ac:dyDescent="0.2">
      <c r="D133" s="8">
        <v>2006</v>
      </c>
      <c r="E133" s="8" t="s">
        <v>444</v>
      </c>
      <c r="F133" s="13">
        <f>HLOOKUP($E$5,'Syndicats Bilan'!$F$4:$AG$227,127,0)</f>
        <v>101007.26999999999</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10757881.43</v>
      </c>
    </row>
    <row r="137" spans="3:6" x14ac:dyDescent="0.2">
      <c r="D137" s="8">
        <v>2010</v>
      </c>
      <c r="E137" s="8" t="s">
        <v>402</v>
      </c>
      <c r="F137" s="13">
        <f>HLOOKUP($E$5,'Syndicats Bilan'!$F$4:$AG$227,131,0)</f>
        <v>9552157.379999999</v>
      </c>
    </row>
    <row r="138" spans="3:6" x14ac:dyDescent="0.2">
      <c r="D138" s="8">
        <v>2011</v>
      </c>
      <c r="E138" s="8" t="s">
        <v>403</v>
      </c>
      <c r="F138" s="13">
        <f>HLOOKUP($E$5,'Syndicats Bilan'!$F$4:$AG$227,132,0)</f>
        <v>350264.05</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855460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1275940.8800000001</v>
      </c>
    </row>
    <row r="147" spans="3:6" x14ac:dyDescent="0.2">
      <c r="D147" s="8">
        <v>2040</v>
      </c>
      <c r="E147" s="8" t="s">
        <v>61</v>
      </c>
      <c r="F147" s="13">
        <f>HLOOKUP($E$5,'Syndicats Bilan'!$F$4:$AG$227,141,0)</f>
        <v>9187.25</v>
      </c>
    </row>
    <row r="148" spans="3:6" x14ac:dyDescent="0.2">
      <c r="D148" s="8">
        <v>2041</v>
      </c>
      <c r="E148" s="8" t="s">
        <v>276</v>
      </c>
      <c r="F148" s="13">
        <f>HLOOKUP($E$5,'Syndicats Bilan'!$F$4:$AG$227,142,0)</f>
        <v>990597.22999999986</v>
      </c>
    </row>
    <row r="149" spans="3:6" x14ac:dyDescent="0.2">
      <c r="D149" s="8">
        <v>2042</v>
      </c>
      <c r="E149" s="8" t="s">
        <v>328</v>
      </c>
      <c r="F149" s="13">
        <f>HLOOKUP($E$5,'Syndicats Bilan'!$F$4:$AG$227,143,0)</f>
        <v>0</v>
      </c>
    </row>
    <row r="150" spans="3:6" x14ac:dyDescent="0.2">
      <c r="D150" s="8">
        <v>2043</v>
      </c>
      <c r="E150" s="8" t="s">
        <v>329</v>
      </c>
      <c r="F150" s="13">
        <f>HLOOKUP($E$5,'Syndicats Bilan'!$F$4:$AG$227,144,0)</f>
        <v>222499</v>
      </c>
    </row>
    <row r="151" spans="3:6" x14ac:dyDescent="0.2">
      <c r="D151" s="8">
        <v>2044</v>
      </c>
      <c r="E151" s="8" t="s">
        <v>409</v>
      </c>
      <c r="F151" s="13">
        <f>HLOOKUP($E$5,'Syndicats Bilan'!$F$4:$AG$227,145,0)</f>
        <v>51970.849999999991</v>
      </c>
    </row>
    <row r="152" spans="3:6" x14ac:dyDescent="0.2">
      <c r="D152" s="8">
        <v>2045</v>
      </c>
      <c r="E152" s="8" t="s">
        <v>331</v>
      </c>
      <c r="F152" s="13">
        <f>HLOOKUP($E$5,'Syndicats Bilan'!$F$4:$AG$227,146,0)</f>
        <v>886.55</v>
      </c>
    </row>
    <row r="153" spans="3:6" x14ac:dyDescent="0.2">
      <c r="D153" s="8">
        <v>2046</v>
      </c>
      <c r="E153" s="8" t="s">
        <v>410</v>
      </c>
      <c r="F153" s="13">
        <f>HLOOKUP($E$5,'Syndicats Bilan'!$F$4:$AG$227,147,0)</f>
        <v>0</v>
      </c>
    </row>
    <row r="154" spans="3:6" x14ac:dyDescent="0.2">
      <c r="D154" s="8">
        <v>2049</v>
      </c>
      <c r="E154" s="8" t="s">
        <v>411</v>
      </c>
      <c r="F154" s="13">
        <f>HLOOKUP($E$5,'Syndicats Bilan'!$F$4:$AG$227,148,0)</f>
        <v>800</v>
      </c>
    </row>
    <row r="155" spans="3:6" x14ac:dyDescent="0.2">
      <c r="F155" s="13"/>
    </row>
    <row r="156" spans="3:6" ht="15" x14ac:dyDescent="0.25">
      <c r="C156" s="127">
        <v>205</v>
      </c>
      <c r="D156" s="127"/>
      <c r="E156" s="127" t="s">
        <v>255</v>
      </c>
      <c r="F156" s="128">
        <f>HLOOKUP($E$5,'Syndicats Bilan'!$F$4:$AG$227,150,0)</f>
        <v>41688.47</v>
      </c>
    </row>
    <row r="157" spans="3:6" x14ac:dyDescent="0.2">
      <c r="D157" s="8">
        <v>2050</v>
      </c>
      <c r="E157" s="8" t="s">
        <v>412</v>
      </c>
      <c r="F157" s="13">
        <f>HLOOKUP($E$5,'Syndicats Bilan'!$F$4:$AG$227,151,0)</f>
        <v>41688.47</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38438446.210000001</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35168366.210000001</v>
      </c>
    </row>
    <row r="172" spans="3:6" x14ac:dyDescent="0.2">
      <c r="D172" s="8">
        <v>2064</v>
      </c>
      <c r="E172" s="8" t="s">
        <v>445</v>
      </c>
      <c r="F172" s="13">
        <f>HLOOKUP($E$5,'Syndicats Bilan'!$F$4:$AG$227,166,0)</f>
        <v>3484000</v>
      </c>
    </row>
    <row r="173" spans="3:6" x14ac:dyDescent="0.2">
      <c r="D173" s="8">
        <v>2067</v>
      </c>
      <c r="E173" s="8" t="s">
        <v>426</v>
      </c>
      <c r="F173" s="13">
        <f>HLOOKUP($E$5,'Syndicats Bilan'!$F$4:$AG$227,167,0)</f>
        <v>0</v>
      </c>
    </row>
    <row r="174" spans="3:6" x14ac:dyDescent="0.2">
      <c r="D174" s="8">
        <v>2069</v>
      </c>
      <c r="E174" s="8" t="s">
        <v>427</v>
      </c>
      <c r="F174" s="13">
        <f>HLOOKUP($E$5,'Syndicats Bilan'!$F$4:$AG$227,168,0)</f>
        <v>-213920</v>
      </c>
    </row>
    <row r="175" spans="3:6" x14ac:dyDescent="0.2">
      <c r="F175" s="13"/>
    </row>
    <row r="176" spans="3:6" ht="15" x14ac:dyDescent="0.25">
      <c r="C176" s="127">
        <v>208</v>
      </c>
      <c r="D176" s="127"/>
      <c r="E176" s="127" t="s">
        <v>257</v>
      </c>
      <c r="F176" s="128">
        <f>HLOOKUP($E$5,'Syndicats Bilan'!$F$4:$AG$227,170,0)</f>
        <v>144655.19999999998</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131535.79999999999</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13119.4</v>
      </c>
    </row>
    <row r="186" spans="3:6" x14ac:dyDescent="0.2">
      <c r="F186" s="13"/>
    </row>
    <row r="187" spans="3:6" ht="15" x14ac:dyDescent="0.25">
      <c r="C187" s="127">
        <v>209</v>
      </c>
      <c r="D187" s="127"/>
      <c r="E187" s="127" t="s">
        <v>258</v>
      </c>
      <c r="F187" s="128">
        <f>HLOOKUP($E$5,'Syndicats Bilan'!$F$4:$AG$227,181,0)</f>
        <v>350000</v>
      </c>
    </row>
    <row r="188" spans="3:6" x14ac:dyDescent="0.2">
      <c r="D188" s="8">
        <v>2090</v>
      </c>
      <c r="E188" s="8" t="s">
        <v>258</v>
      </c>
      <c r="F188" s="13">
        <f>HLOOKUP($E$5,'Syndicats Bilan'!$F$4:$AG$227,182,0)</f>
        <v>0</v>
      </c>
    </row>
    <row r="189" spans="3:6" x14ac:dyDescent="0.2">
      <c r="D189" s="8">
        <v>2091</v>
      </c>
      <c r="E189" s="8" t="s">
        <v>437</v>
      </c>
      <c r="F189" s="13">
        <f>HLOOKUP($E$5,'Syndicats Bilan'!$F$4:$AG$227,183,0)</f>
        <v>350000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105009962.06999999</v>
      </c>
    </row>
    <row r="194" spans="2:6" ht="15" x14ac:dyDescent="0.25">
      <c r="C194" s="127">
        <v>290</v>
      </c>
      <c r="D194" s="127"/>
      <c r="E194" s="127" t="s">
        <v>260</v>
      </c>
      <c r="F194" s="128">
        <f>HLOOKUP($E$5,'Syndicats Bilan'!$F$4:$AG$227,188,0)</f>
        <v>9961529.8499999978</v>
      </c>
    </row>
    <row r="195" spans="2:6" x14ac:dyDescent="0.2">
      <c r="D195" s="8">
        <v>2900</v>
      </c>
      <c r="E195" s="8" t="s">
        <v>260</v>
      </c>
      <c r="F195" s="13">
        <f>HLOOKUP($E$5,'Syndicats Bilan'!$F$4:$AG$227,189,0)</f>
        <v>9961529.8499999978</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15199.75</v>
      </c>
    </row>
    <row r="202" spans="2:6" x14ac:dyDescent="0.2">
      <c r="D202" s="8">
        <v>2920</v>
      </c>
      <c r="E202" s="8" t="s">
        <v>262</v>
      </c>
      <c r="F202" s="13">
        <f>HLOOKUP($E$5,'Syndicats Bilan'!$F$4:$AG$227,196,0)</f>
        <v>15199.75</v>
      </c>
    </row>
    <row r="203" spans="2:6" x14ac:dyDescent="0.2">
      <c r="F203" s="13"/>
    </row>
    <row r="204" spans="2:6" ht="15" x14ac:dyDescent="0.25">
      <c r="C204" s="127">
        <v>293</v>
      </c>
      <c r="D204" s="127"/>
      <c r="E204" s="127" t="s">
        <v>263</v>
      </c>
      <c r="F204" s="128">
        <f>HLOOKUP($E$5,'Syndicats Bilan'!$F$4:$AG$227,198,0)</f>
        <v>21300130.449999999</v>
      </c>
    </row>
    <row r="205" spans="2:6" x14ac:dyDescent="0.2">
      <c r="D205" s="8">
        <v>2930</v>
      </c>
      <c r="E205" s="8" t="s">
        <v>263</v>
      </c>
      <c r="F205" s="13">
        <f>HLOOKUP($E$5,'Syndicats Bilan'!$F$4:$AG$227,199,0)</f>
        <v>21300130.449999999</v>
      </c>
    </row>
    <row r="206" spans="2:6" x14ac:dyDescent="0.2">
      <c r="F206" s="13"/>
    </row>
    <row r="207" spans="2:6" ht="15" x14ac:dyDescent="0.25">
      <c r="C207" s="127">
        <v>294</v>
      </c>
      <c r="D207" s="127"/>
      <c r="E207" s="127" t="s">
        <v>264</v>
      </c>
      <c r="F207" s="128">
        <f>HLOOKUP($E$5,'Syndicats Bilan'!$F$4:$AG$227,201,0)</f>
        <v>520837.37</v>
      </c>
    </row>
    <row r="208" spans="2:6" x14ac:dyDescent="0.2">
      <c r="D208" s="8">
        <v>2940</v>
      </c>
      <c r="E208" s="8" t="s">
        <v>264</v>
      </c>
      <c r="F208" s="13">
        <f>HLOOKUP($E$5,'Syndicats Bilan'!$F$4:$AG$227,202,0)</f>
        <v>520837.37</v>
      </c>
    </row>
    <row r="209" spans="3:6" x14ac:dyDescent="0.2">
      <c r="F209" s="13"/>
    </row>
    <row r="210" spans="3:6" ht="15" x14ac:dyDescent="0.25">
      <c r="C210" s="127">
        <v>295</v>
      </c>
      <c r="D210" s="127"/>
      <c r="E210" s="127" t="s">
        <v>265</v>
      </c>
      <c r="F210" s="128">
        <f>HLOOKUP($E$5,'Syndicats Bilan'!$F$4:$AG$227,204,0)</f>
        <v>66124460.359999999</v>
      </c>
    </row>
    <row r="211" spans="3:6" x14ac:dyDescent="0.2">
      <c r="D211" s="8">
        <v>2950</v>
      </c>
      <c r="E211" s="8" t="s">
        <v>265</v>
      </c>
      <c r="F211" s="13">
        <f>HLOOKUP($E$5,'Syndicats Bilan'!$F$4:$AG$227,205,0)</f>
        <v>66124460.359999999</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7087804.2899999991</v>
      </c>
    </row>
    <row r="220" spans="3:6" x14ac:dyDescent="0.2">
      <c r="D220" s="8">
        <v>2990</v>
      </c>
      <c r="E220" s="8" t="s">
        <v>441</v>
      </c>
      <c r="F220" s="13">
        <f>HLOOKUP($E$5,'Syndicats Bilan'!$F$4:$AG$227,214,0)</f>
        <v>422910.53999999992</v>
      </c>
    </row>
    <row r="221" spans="3:6" x14ac:dyDescent="0.2">
      <c r="D221" s="8">
        <v>2999</v>
      </c>
      <c r="E221" s="8" t="s">
        <v>842</v>
      </c>
      <c r="F221" s="13">
        <f>HLOOKUP($E$5,'Syndicats Bilan'!$F$4:$AG$227,215,0)</f>
        <v>6664893.7499999991</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-32749.489999999998</v>
      </c>
    </row>
    <row r="225" spans="4:6" x14ac:dyDescent="0.2">
      <c r="D225" s="8">
        <v>2990</v>
      </c>
      <c r="E225" s="8" t="s">
        <v>583</v>
      </c>
      <c r="F225" s="13">
        <f>HLOOKUP($E$5,'Syndicats Bilan'!$F$4:$AG$227,219,0)</f>
        <v>422910.53999999992</v>
      </c>
    </row>
    <row r="226" spans="4:6" x14ac:dyDescent="0.2">
      <c r="F226" s="13"/>
    </row>
    <row r="227" spans="4:6" ht="15" x14ac:dyDescent="0.25">
      <c r="E227" s="7" t="s">
        <v>582</v>
      </c>
      <c r="F227" s="13">
        <f>HLOOKUP($E$5,'Syndicats Bilan'!$F$4:$AG$227,221,0)</f>
        <v>390161.04999999993</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B1"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125850.07</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40502191.099999994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915499.3</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56072026.220000006</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54219.3</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5063414.0299999993</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861280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38438446.210000001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915499.3</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54259741.670000002</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tabSelected="1" workbookViewId="0">
      <selection activeCell="B27" sqref="B2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65</v>
      </c>
    </row>
    <row r="6" spans="1:3" ht="15" customHeight="1" x14ac:dyDescent="0.25">
      <c r="C6" s="33"/>
    </row>
    <row r="7" spans="1:3" ht="15" customHeight="1" x14ac:dyDescent="0.25">
      <c r="C7" s="144" t="s">
        <v>201</v>
      </c>
    </row>
    <row r="8" spans="1:3" x14ac:dyDescent="0.2">
      <c r="A8" s="8">
        <v>10</v>
      </c>
      <c r="B8" s="8" t="s">
        <v>239</v>
      </c>
      <c r="C8" s="13">
        <f>HLOOKUP($B$5,'Syndicats endettement'!C7:AD24,2,0)</f>
        <v>40502191.099999994</v>
      </c>
    </row>
    <row r="9" spans="1:3" x14ac:dyDescent="0.2">
      <c r="C9" s="13"/>
    </row>
    <row r="10" spans="1:3" x14ac:dyDescent="0.2">
      <c r="A10" s="8">
        <v>20</v>
      </c>
      <c r="B10" s="8" t="s">
        <v>251</v>
      </c>
      <c r="C10" s="13">
        <f>HLOOKUP($B$5,'Syndicats endettement'!$C$7:$AD$21,4,0)</f>
        <v>56072026.220000006</v>
      </c>
    </row>
    <row r="11" spans="1:3" x14ac:dyDescent="0.2">
      <c r="C11" s="13"/>
    </row>
    <row r="12" spans="1:3" x14ac:dyDescent="0.2">
      <c r="A12" s="8">
        <v>200</v>
      </c>
      <c r="B12" s="8" t="s">
        <v>448</v>
      </c>
      <c r="C12" s="13">
        <f>HLOOKUP($B$5,'Syndicats endettement'!$C$7:$AD$21,6,0)</f>
        <v>5063414.0299999993</v>
      </c>
    </row>
    <row r="13" spans="1:3" x14ac:dyDescent="0.2">
      <c r="C13" s="13"/>
    </row>
    <row r="14" spans="1:3" x14ac:dyDescent="0.2">
      <c r="A14" s="8">
        <v>201</v>
      </c>
      <c r="B14" s="8" t="s">
        <v>253</v>
      </c>
      <c r="C14" s="13">
        <f>HLOOKUP($B$5,'Syndicats endettement'!$C$7:$AD$21,8,0)</f>
        <v>10757881.43</v>
      </c>
    </row>
    <row r="15" spans="1:3" x14ac:dyDescent="0.2">
      <c r="C15" s="13"/>
    </row>
    <row r="16" spans="1:3" x14ac:dyDescent="0.2">
      <c r="A16" s="8">
        <v>206</v>
      </c>
      <c r="B16" s="8" t="s">
        <v>256</v>
      </c>
      <c r="C16" s="13">
        <f>HLOOKUP($B$5,'Syndicats endettement'!$C$7:$AD$21,10,0)</f>
        <v>38438446.210000001</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54259741.670000002</v>
      </c>
    </row>
    <row r="22" spans="1:3" ht="15" x14ac:dyDescent="0.25">
      <c r="B22" s="140" t="s">
        <v>495</v>
      </c>
      <c r="C22" s="142">
        <f>C21-C8</f>
        <v>13757550.570000008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2023-11-28T07:24:40Z</cp:lastPrinted>
  <dcterms:created xsi:type="dcterms:W3CDTF">2015-10-26T07:38:03Z</dcterms:created>
  <dcterms:modified xsi:type="dcterms:W3CDTF">2023-11-28T08:38:53Z</dcterms:modified>
</cp:coreProperties>
</file>