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30" activeTab="30"/>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2" sheetId="69" state="hidden" r:id="rId52"/>
    <sheet name="Comptes 2022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BF9" i="42"/>
  <c r="D5" i="38" s="1"/>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BF15" i="42"/>
  <c r="D6" i="39" s="1"/>
  <c r="BI14" i="42"/>
  <c r="BH14" i="42"/>
  <c r="BG14" i="42"/>
  <c r="BF14" i="42"/>
  <c r="BI13" i="42"/>
  <c r="BH13" i="42"/>
  <c r="BG13" i="42"/>
  <c r="BF13" i="42"/>
  <c r="D27" i="36" s="1"/>
  <c r="BI12" i="42"/>
  <c r="BH12" i="42"/>
  <c r="BG12" i="42"/>
  <c r="BF12" i="42"/>
  <c r="D26" i="36" s="1"/>
  <c r="BI11" i="42"/>
  <c r="BH11" i="42"/>
  <c r="BG11" i="42"/>
  <c r="BF11" i="42"/>
  <c r="D25" i="36" s="1"/>
  <c r="BI10" i="42"/>
  <c r="BH10" i="42"/>
  <c r="BG10" i="42"/>
  <c r="BF10" i="42"/>
  <c r="D24"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<sst xmlns="http://schemas.openxmlformats.org/spreadsheetml/2006/main" count="5450" uniqueCount="871">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</sst>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3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BB173"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AW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tabSelected="1" workbookViewId="0">
      <pane xSplit="4" ySplit="4" topLeftCell="BF5" activePane="bottomRight" state="frozen"/>
      <selection pane="topRight" activeCell="E1" sqref="E1"/>
      <selection pane="bottomLeft" activeCell="A12" sqref="A12"/>
      <selection pane="bottomRight" activeCell="A49" sqref="A4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hidden="1" customWidth="1"/>
    <col min="58" max="60" width="18.7109375" style="8" hidden="1"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3" t="s">
        <v>491</v>
      </c>
      <c r="B1" s="223"/>
      <c r="C1" s="223"/>
      <c r="D1" s="223"/>
    </row>
    <row r="3" spans="1:62" ht="15" hidden="1"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hidden="1"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hidden="1" x14ac:dyDescent="0.2">
      <c r="A5" s="159" t="s">
        <v>251</v>
      </c>
      <c r="B5" s="160" t="s">
        <v>224</v>
      </c>
      <c r="C5" s="159">
        <v>20</v>
      </c>
      <c r="D5" s="161">
        <f>'Base de données indicateurs1'!BF9</f>
        <v>646601710.46999991</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hidden="1" x14ac:dyDescent="0.2">
      <c r="A6" s="162" t="s">
        <v>239</v>
      </c>
      <c r="B6" s="163" t="s">
        <v>225</v>
      </c>
      <c r="C6" s="162">
        <v>10</v>
      </c>
      <c r="D6" s="164">
        <f>'Base de données indicateurs1'!BF6</f>
        <v>346299432.57999992</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hidden="1" thickBot="1" x14ac:dyDescent="0.25">
      <c r="A7" s="165"/>
      <c r="B7" s="166"/>
      <c r="C7" s="165"/>
      <c r="D7" s="167"/>
      <c r="BF7" s="13"/>
      <c r="BG7" s="13"/>
      <c r="BH7" s="13"/>
    </row>
    <row r="8" spans="1:62" ht="15.75" hidden="1" thickBot="1" x14ac:dyDescent="0.3">
      <c r="A8" s="7" t="s">
        <v>495</v>
      </c>
      <c r="B8" s="112"/>
      <c r="C8" s="7"/>
      <c r="D8" s="168">
        <f>D5-D6</f>
        <v>300302277.88999999</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hidden="1" x14ac:dyDescent="0.2">
      <c r="B9" s="169"/>
      <c r="D9" s="13"/>
      <c r="BF9" s="13"/>
      <c r="BG9" s="13"/>
      <c r="BH9" s="13"/>
    </row>
    <row r="10" spans="1:62" hidden="1"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hidden="1"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hidden="1"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hidden="1"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hidden="1" thickBot="1" x14ac:dyDescent="0.25">
      <c r="A14" s="165"/>
      <c r="B14" s="166"/>
      <c r="C14" s="165"/>
      <c r="D14" s="167"/>
      <c r="BF14" s="13"/>
      <c r="BG14" s="13"/>
      <c r="BH14" s="13"/>
      <c r="BJ14" s="13"/>
    </row>
    <row r="15" spans="1:62" ht="15.75" hidden="1"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hidden="1" thickBot="1" x14ac:dyDescent="0.25">
      <c r="B16" s="169"/>
      <c r="D16" s="13"/>
      <c r="BF16" s="13"/>
      <c r="BG16" s="13"/>
      <c r="BH16" s="13"/>
      <c r="BJ16" s="13"/>
    </row>
    <row r="17" spans="1:69" ht="15.75" hidden="1" thickBot="1" x14ac:dyDescent="0.3">
      <c r="A17" s="7" t="s">
        <v>501</v>
      </c>
      <c r="B17" s="169"/>
      <c r="D17" s="168">
        <f>IF(D15&lt;&gt;0,D8/D15,"")*100</f>
        <v>145.68720378892164</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hidden="1" x14ac:dyDescent="0.2">
      <c r="A18" s="173" t="s">
        <v>502</v>
      </c>
      <c r="B18" s="169"/>
      <c r="D18" s="13"/>
      <c r="BF18" s="13"/>
      <c r="BG18" s="13"/>
      <c r="BH18" s="13"/>
      <c r="BJ18" s="13"/>
    </row>
    <row r="19" spans="1:69" hidden="1" x14ac:dyDescent="0.2">
      <c r="A19" s="173"/>
      <c r="B19" s="169"/>
      <c r="D19" s="13"/>
      <c r="BF19" s="13"/>
      <c r="BG19" s="13"/>
      <c r="BH19" s="13"/>
      <c r="BJ19" s="13"/>
    </row>
    <row r="20" spans="1:69" hidden="1"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S5"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39606493.800000004</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102331901.60000002</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471291696.03999996</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613230091.44000006</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162.25012579612346</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Z5"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3" t="s">
        <v>491</v>
      </c>
      <c r="B1" s="223"/>
      <c r="C1" s="223"/>
      <c r="D1" s="223"/>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BC5"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3" t="s">
        <v>491</v>
      </c>
      <c r="B1" s="223"/>
      <c r="C1" s="223"/>
      <c r="D1" s="223"/>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646601710.46999991</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346299432.57999992</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300302277.88999999</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4065.5557827117036</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3" t="s">
        <v>491</v>
      </c>
      <c r="B2" s="223"/>
      <c r="C2" s="223"/>
      <c r="D2" s="223"/>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613230091.44000006</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300302277.88999999</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145.68720378892164</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162.25012579612346</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4065.5557827117036</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A12" sqref="A12"/>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3"/>
      <c r="B1" s="223"/>
      <c r="C1" s="223"/>
      <c r="D1" s="223"/>
    </row>
    <row r="2" spans="1:8" ht="18" x14ac:dyDescent="0.25">
      <c r="A2" s="230" t="s">
        <v>831</v>
      </c>
      <c r="B2" s="230"/>
      <c r="C2" s="230"/>
      <c r="D2" s="230"/>
      <c r="E2" s="223"/>
      <c r="F2" s="223"/>
      <c r="G2" s="223"/>
      <c r="H2" s="223"/>
    </row>
    <row r="3" spans="1:8" ht="18" x14ac:dyDescent="0.25">
      <c r="A3" s="193"/>
      <c r="B3" s="193"/>
      <c r="C3" s="193"/>
      <c r="D3" s="193"/>
      <c r="E3" s="193"/>
      <c r="F3" s="193"/>
      <c r="G3" s="193"/>
      <c r="H3" s="193"/>
    </row>
    <row r="4" spans="1:8" ht="15" thickBot="1" x14ac:dyDescent="0.25">
      <c r="B4" s="231" t="s">
        <v>782</v>
      </c>
      <c r="C4" s="231"/>
      <c r="D4" s="231"/>
    </row>
    <row r="5" spans="1:8" ht="15.75" thickBot="1" x14ac:dyDescent="0.3">
      <c r="A5" s="32" t="s">
        <v>569</v>
      </c>
      <c r="B5" s="216" t="s">
        <v>49</v>
      </c>
      <c r="C5" s="217"/>
      <c r="D5" s="218"/>
      <c r="F5" s="158"/>
    </row>
    <row r="6" spans="1:8" ht="15.75" thickBot="1" x14ac:dyDescent="0.3">
      <c r="E6" s="7"/>
      <c r="H6" s="165"/>
    </row>
    <row r="7" spans="1:8" ht="15.75" thickBot="1" x14ac:dyDescent="0.3">
      <c r="A7" s="227" t="s">
        <v>562</v>
      </c>
      <c r="B7" s="228"/>
      <c r="C7" s="228"/>
      <c r="D7" s="229"/>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38"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A12" sqref="A12"/>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12" sqref="A12"/>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12" sqref="A12"/>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12" sqref="A12"/>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12" sqref="A12"/>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12" sqref="A12"/>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12" sqref="A12"/>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19" t="s">
        <v>743</v>
      </c>
      <c r="C5" s="219"/>
      <c r="D5" s="219"/>
    </row>
    <row r="6" spans="1:5" ht="15.75" thickBot="1" x14ac:dyDescent="0.3">
      <c r="B6" s="216" t="s">
        <v>28</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A12" sqref="A12"/>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C8"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12" sqref="A12"/>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12" sqref="A12"/>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U146"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35329809.579999998</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5528265.3400000008</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v>8895</v>
      </c>
      <c r="U7" s="13">
        <v>12695</v>
      </c>
      <c r="V7" s="13">
        <v>2170</v>
      </c>
      <c r="W7" s="13"/>
      <c r="X7" s="13">
        <v>24561.599999999999</v>
      </c>
      <c r="Y7" s="13">
        <v>49020</v>
      </c>
      <c r="Z7" s="13">
        <v>9259</v>
      </c>
      <c r="AA7" s="13">
        <v>21724.1</v>
      </c>
      <c r="AB7" s="13">
        <v>9211.75</v>
      </c>
      <c r="AC7" s="13">
        <v>5951</v>
      </c>
      <c r="AD7" s="13">
        <v>4866.6000000000004</v>
      </c>
      <c r="AE7" s="13">
        <v>1995</v>
      </c>
      <c r="AF7" s="13">
        <f t="shared" ref="AF7:AF14" si="2">SUM(E7:AE7)</f>
        <v>269766.64999999997</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c r="X8" s="13">
        <v>59900.6</v>
      </c>
      <c r="Y8" s="13">
        <v>928775.9</v>
      </c>
      <c r="Z8" s="13">
        <v>31900.400000000001</v>
      </c>
      <c r="AA8" s="13">
        <v>298856.65000000002</v>
      </c>
      <c r="AB8" s="13">
        <v>27953.5</v>
      </c>
      <c r="AC8" s="13">
        <v>8754.5499999999993</v>
      </c>
      <c r="AD8" s="13">
        <v>525242.44999999995</v>
      </c>
      <c r="AE8" s="13">
        <v>23135</v>
      </c>
      <c r="AF8" s="13">
        <f t="shared" si="2"/>
        <v>4196000</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v>0</v>
      </c>
      <c r="U9" s="13">
        <v>0</v>
      </c>
      <c r="V9" s="13">
        <v>0</v>
      </c>
      <c r="W9" s="13"/>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v>0</v>
      </c>
      <c r="U10" s="13">
        <v>0</v>
      </c>
      <c r="V10" s="13">
        <v>0</v>
      </c>
      <c r="W10" s="13"/>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v>0</v>
      </c>
      <c r="U11" s="13">
        <v>0</v>
      </c>
      <c r="V11" s="13">
        <v>0</v>
      </c>
      <c r="W11" s="13"/>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c r="X12" s="13">
        <v>6284</v>
      </c>
      <c r="Y12" s="13">
        <v>186849.22</v>
      </c>
      <c r="Z12" s="13">
        <v>2720.65</v>
      </c>
      <c r="AA12" s="13">
        <v>60583.3</v>
      </c>
      <c r="AB12" s="13">
        <v>4584.3999999999996</v>
      </c>
      <c r="AC12" s="13">
        <v>894</v>
      </c>
      <c r="AD12" s="13">
        <v>116000.35</v>
      </c>
      <c r="AE12" s="13">
        <v>3310.55</v>
      </c>
      <c r="AF12" s="13">
        <f t="shared" si="2"/>
        <v>901892.84</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v>473.7</v>
      </c>
      <c r="U13" s="13">
        <v>0</v>
      </c>
      <c r="V13" s="13">
        <v>0</v>
      </c>
      <c r="W13" s="13"/>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v>0</v>
      </c>
      <c r="U14" s="13">
        <v>1354.7</v>
      </c>
      <c r="V14" s="13">
        <v>823.1</v>
      </c>
      <c r="W14" s="13"/>
      <c r="X14" s="13">
        <v>0</v>
      </c>
      <c r="Y14" s="13">
        <v>15530.4</v>
      </c>
      <c r="Z14" s="13">
        <v>1185.9000000000001</v>
      </c>
      <c r="AA14" s="13">
        <v>180</v>
      </c>
      <c r="AB14" s="13">
        <v>393</v>
      </c>
      <c r="AC14" s="13">
        <v>812.5</v>
      </c>
      <c r="AD14" s="13">
        <v>20437</v>
      </c>
      <c r="AE14" s="13">
        <v>2025.4</v>
      </c>
      <c r="AF14" s="13">
        <f t="shared" si="2"/>
        <v>87829.65</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16089955.869999999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v>1292.3</v>
      </c>
      <c r="U18" s="13">
        <v>0</v>
      </c>
      <c r="V18" s="13">
        <v>12113</v>
      </c>
      <c r="W18" s="13"/>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c r="X20" s="13">
        <v>74711.5</v>
      </c>
      <c r="Y20" s="13">
        <v>1720030.31</v>
      </c>
      <c r="Z20" s="13">
        <v>56735.85</v>
      </c>
      <c r="AA20" s="13">
        <v>139002.75</v>
      </c>
      <c r="AB20" s="13">
        <v>34929.199999999997</v>
      </c>
      <c r="AC20" s="13">
        <v>3793.4</v>
      </c>
      <c r="AD20" s="13">
        <v>642327.76</v>
      </c>
      <c r="AE20" s="13">
        <v>56548.35</v>
      </c>
      <c r="AF20" s="13">
        <f t="shared" si="4"/>
        <v>7251609.2399999993</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v>0</v>
      </c>
      <c r="U22" s="13">
        <v>0</v>
      </c>
      <c r="V22" s="13">
        <v>3321.5</v>
      </c>
      <c r="W22" s="13"/>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v>0</v>
      </c>
      <c r="U23" s="13">
        <v>600</v>
      </c>
      <c r="V23" s="13">
        <v>41200</v>
      </c>
      <c r="W23" s="13"/>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v>2682.9</v>
      </c>
      <c r="U24" s="13">
        <v>0</v>
      </c>
      <c r="V24" s="13">
        <v>25009.3</v>
      </c>
      <c r="W24" s="13"/>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v>0</v>
      </c>
      <c r="U25" s="13">
        <v>1836.05</v>
      </c>
      <c r="V25" s="13">
        <v>0</v>
      </c>
      <c r="W25" s="13"/>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v>0</v>
      </c>
      <c r="U26" s="13">
        <v>0</v>
      </c>
      <c r="V26" s="13">
        <v>0</v>
      </c>
      <c r="W26" s="13"/>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6008752.6399999997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v>5700</v>
      </c>
      <c r="U29" s="13">
        <v>0</v>
      </c>
      <c r="V29" s="13">
        <v>63285</v>
      </c>
      <c r="W29" s="13"/>
      <c r="X29" s="13">
        <v>96104.7</v>
      </c>
      <c r="Y29" s="13">
        <v>650232.67000000004</v>
      </c>
      <c r="Z29" s="13">
        <v>95000</v>
      </c>
      <c r="AA29" s="13">
        <v>153387.85</v>
      </c>
      <c r="AB29" s="13">
        <v>0</v>
      </c>
      <c r="AC29" s="13">
        <v>0</v>
      </c>
      <c r="AD29" s="13">
        <v>361171.4</v>
      </c>
      <c r="AE29" s="13">
        <v>647.79999999999995</v>
      </c>
      <c r="AF29" s="13">
        <f>SUM(E29:AE29)</f>
        <v>5987570.79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v>0</v>
      </c>
      <c r="U30" s="13">
        <v>0</v>
      </c>
      <c r="V30" s="13">
        <v>0</v>
      </c>
      <c r="W30" s="13"/>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v>252</v>
      </c>
      <c r="U33" s="13">
        <v>16114.27</v>
      </c>
      <c r="V33" s="13">
        <v>11936.05</v>
      </c>
      <c r="W33" s="13"/>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v>515.70000000000005</v>
      </c>
      <c r="U34" s="13">
        <v>0</v>
      </c>
      <c r="V34" s="13">
        <v>0</v>
      </c>
      <c r="W34" s="13"/>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v>0</v>
      </c>
      <c r="U35" s="13">
        <v>0</v>
      </c>
      <c r="V35" s="13">
        <v>0</v>
      </c>
      <c r="W35" s="13"/>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v>0</v>
      </c>
      <c r="U36" s="13">
        <v>90232.1</v>
      </c>
      <c r="V36" s="13">
        <v>0</v>
      </c>
      <c r="W36" s="13"/>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v>0</v>
      </c>
      <c r="U37" s="13">
        <v>0</v>
      </c>
      <c r="V37" s="13">
        <v>0</v>
      </c>
      <c r="W37" s="13"/>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v>0</v>
      </c>
      <c r="U38" s="13">
        <v>0</v>
      </c>
      <c r="V38" s="13">
        <v>0</v>
      </c>
      <c r="W38" s="13"/>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v>0</v>
      </c>
      <c r="U41" s="13">
        <v>0</v>
      </c>
      <c r="V41" s="13">
        <v>0</v>
      </c>
      <c r="W41" s="13"/>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v>0</v>
      </c>
      <c r="U42" s="13">
        <v>2000</v>
      </c>
      <c r="V42" s="13">
        <v>0</v>
      </c>
      <c r="W42" s="13"/>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v>0</v>
      </c>
      <c r="U45" s="13">
        <v>0</v>
      </c>
      <c r="V45" s="13">
        <v>0</v>
      </c>
      <c r="W45" s="13"/>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v>493268.05</v>
      </c>
      <c r="U46" s="13">
        <v>0</v>
      </c>
      <c r="V46" s="13">
        <v>19871.95</v>
      </c>
      <c r="W46" s="13"/>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v>0</v>
      </c>
      <c r="U47" s="13">
        <v>0</v>
      </c>
      <c r="V47" s="13">
        <v>0</v>
      </c>
      <c r="W47" s="13"/>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v>5700</v>
      </c>
      <c r="U48" s="13">
        <v>0</v>
      </c>
      <c r="V48" s="13">
        <v>0</v>
      </c>
      <c r="W48" s="13"/>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v>0</v>
      </c>
      <c r="U49" s="13">
        <v>0</v>
      </c>
      <c r="V49" s="13">
        <v>0</v>
      </c>
      <c r="W49" s="13"/>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v>0</v>
      </c>
      <c r="U50" s="13">
        <v>0</v>
      </c>
      <c r="V50" s="13">
        <v>0</v>
      </c>
      <c r="W50" s="13"/>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v>0</v>
      </c>
      <c r="U51" s="13">
        <v>0</v>
      </c>
      <c r="V51" s="13">
        <v>0</v>
      </c>
      <c r="W51" s="13"/>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v>0</v>
      </c>
      <c r="U52" s="13">
        <v>0</v>
      </c>
      <c r="V52" s="13">
        <v>0</v>
      </c>
      <c r="W52" s="13"/>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v>0</v>
      </c>
      <c r="U55" s="13">
        <v>0</v>
      </c>
      <c r="V55" s="13">
        <v>0</v>
      </c>
      <c r="W55" s="13"/>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v>0</v>
      </c>
      <c r="U58" s="13">
        <v>0</v>
      </c>
      <c r="V58" s="13">
        <v>0</v>
      </c>
      <c r="W58" s="13"/>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v>0</v>
      </c>
      <c r="U59" s="13">
        <v>0</v>
      </c>
      <c r="V59" s="13">
        <v>0</v>
      </c>
      <c r="W59" s="13"/>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v>0</v>
      </c>
      <c r="U60" s="13">
        <v>0</v>
      </c>
      <c r="V60" s="13">
        <v>0</v>
      </c>
      <c r="W60" s="13"/>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v>0</v>
      </c>
      <c r="U61" s="13">
        <v>0</v>
      </c>
      <c r="V61" s="13">
        <v>0</v>
      </c>
      <c r="W61" s="13"/>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v>0</v>
      </c>
      <c r="U62" s="13">
        <v>0</v>
      </c>
      <c r="V62" s="13">
        <v>0</v>
      </c>
      <c r="W62" s="13"/>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v>0</v>
      </c>
      <c r="U63" s="13">
        <v>0</v>
      </c>
      <c r="V63" s="13">
        <v>0</v>
      </c>
      <c r="W63" s="13"/>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v>0</v>
      </c>
      <c r="U66" s="13">
        <v>0</v>
      </c>
      <c r="V66" s="13">
        <v>0</v>
      </c>
      <c r="W66" s="13"/>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v>0</v>
      </c>
      <c r="U67" s="13">
        <v>350</v>
      </c>
      <c r="V67" s="13">
        <v>0</v>
      </c>
      <c r="W67" s="13"/>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v>0</v>
      </c>
      <c r="U68" s="13">
        <v>0</v>
      </c>
      <c r="V68" s="13">
        <v>0</v>
      </c>
      <c r="W68" s="13"/>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v>0</v>
      </c>
      <c r="U69" s="13">
        <v>0</v>
      </c>
      <c r="V69" s="13">
        <v>0</v>
      </c>
      <c r="W69" s="13"/>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v>53709.4</v>
      </c>
      <c r="U70" s="13">
        <v>0</v>
      </c>
      <c r="V70" s="13">
        <v>0</v>
      </c>
      <c r="W70" s="13"/>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v>0</v>
      </c>
      <c r="U71" s="13">
        <v>0</v>
      </c>
      <c r="V71" s="13">
        <v>0</v>
      </c>
      <c r="W71" s="13"/>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v>0</v>
      </c>
      <c r="U72" s="13">
        <v>0</v>
      </c>
      <c r="V72" s="13">
        <v>183345.69</v>
      </c>
      <c r="W72" s="13"/>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v>0</v>
      </c>
      <c r="U73" s="13">
        <v>0</v>
      </c>
      <c r="V73" s="13">
        <v>0</v>
      </c>
      <c r="W73" s="13"/>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35944402.580000006</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v>0</v>
      </c>
      <c r="U78" s="13">
        <v>0</v>
      </c>
      <c r="V78" s="13">
        <v>0</v>
      </c>
      <c r="W78" s="13"/>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v>0</v>
      </c>
      <c r="U79" s="13">
        <v>0</v>
      </c>
      <c r="V79" s="13">
        <v>0</v>
      </c>
      <c r="W79" s="13"/>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v>0</v>
      </c>
      <c r="U80" s="13">
        <v>0</v>
      </c>
      <c r="V80" s="13">
        <v>0</v>
      </c>
      <c r="W80" s="13"/>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v>0</v>
      </c>
      <c r="U81" s="13">
        <v>0</v>
      </c>
      <c r="V81" s="13">
        <v>0</v>
      </c>
      <c r="W81" s="13"/>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v>0</v>
      </c>
      <c r="U84" s="13">
        <v>0</v>
      </c>
      <c r="V84" s="13">
        <v>0</v>
      </c>
      <c r="W84" s="13"/>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v>0</v>
      </c>
      <c r="U85" s="13">
        <v>0</v>
      </c>
      <c r="V85" s="13">
        <v>0</v>
      </c>
      <c r="W85" s="13"/>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v>0</v>
      </c>
      <c r="U86" s="13">
        <v>0</v>
      </c>
      <c r="V86" s="13">
        <v>0</v>
      </c>
      <c r="W86" s="13"/>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v>0</v>
      </c>
      <c r="U87" s="13">
        <v>0</v>
      </c>
      <c r="V87" s="13">
        <v>0</v>
      </c>
      <c r="W87" s="13"/>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v>0</v>
      </c>
      <c r="U90" s="13">
        <v>0</v>
      </c>
      <c r="V90" s="13">
        <v>0</v>
      </c>
      <c r="W90" s="13"/>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v>0</v>
      </c>
      <c r="U91" s="13">
        <v>0</v>
      </c>
      <c r="V91" s="13">
        <v>0</v>
      </c>
      <c r="W91" s="13"/>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v>0</v>
      </c>
      <c r="U92" s="13">
        <v>0</v>
      </c>
      <c r="V92" s="13">
        <v>0</v>
      </c>
      <c r="W92" s="13"/>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v>0</v>
      </c>
      <c r="U93" s="13">
        <v>0</v>
      </c>
      <c r="V93" s="13">
        <v>0</v>
      </c>
      <c r="W93" s="13"/>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v>28197.65</v>
      </c>
      <c r="U94" s="13">
        <v>0</v>
      </c>
      <c r="V94" s="13">
        <v>0</v>
      </c>
      <c r="W94" s="13"/>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v>543669.75</v>
      </c>
      <c r="U95" s="13">
        <v>30700.55</v>
      </c>
      <c r="V95" s="13">
        <v>4218.7</v>
      </c>
      <c r="W95" s="13"/>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v>0</v>
      </c>
      <c r="U96" s="13">
        <v>296.8</v>
      </c>
      <c r="V96" s="13">
        <v>0</v>
      </c>
      <c r="W96" s="13"/>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v>0</v>
      </c>
      <c r="U97" s="13">
        <v>0</v>
      </c>
      <c r="V97" s="13">
        <v>0</v>
      </c>
      <c r="W97" s="13"/>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v>0</v>
      </c>
      <c r="U98" s="13">
        <v>0</v>
      </c>
      <c r="V98" s="13">
        <v>0</v>
      </c>
      <c r="W98" s="13"/>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v>0</v>
      </c>
      <c r="U101" s="13">
        <v>0</v>
      </c>
      <c r="V101" s="13">
        <v>0</v>
      </c>
      <c r="W101" s="13"/>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v>20938</v>
      </c>
      <c r="U102" s="13">
        <v>0</v>
      </c>
      <c r="V102" s="13">
        <v>0</v>
      </c>
      <c r="W102" s="13"/>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v>0</v>
      </c>
      <c r="U103" s="13">
        <v>0</v>
      </c>
      <c r="V103" s="13">
        <v>0</v>
      </c>
      <c r="W103" s="13"/>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v>0</v>
      </c>
      <c r="U104" s="13">
        <v>0</v>
      </c>
      <c r="V104" s="13">
        <v>0</v>
      </c>
      <c r="W104" s="13"/>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v>0</v>
      </c>
      <c r="U107" s="13">
        <v>5.77</v>
      </c>
      <c r="V107" s="13">
        <v>0</v>
      </c>
      <c r="W107" s="13"/>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v>0</v>
      </c>
      <c r="U108" s="13">
        <v>0</v>
      </c>
      <c r="V108" s="13">
        <v>0</v>
      </c>
      <c r="W108" s="13"/>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v>0</v>
      </c>
      <c r="U109" s="13">
        <v>0</v>
      </c>
      <c r="V109" s="13">
        <v>0</v>
      </c>
      <c r="W109" s="13"/>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v>0</v>
      </c>
      <c r="U110" s="13">
        <v>142400</v>
      </c>
      <c r="V110" s="13">
        <v>0</v>
      </c>
      <c r="W110" s="13"/>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v>1219.95</v>
      </c>
      <c r="U111" s="13">
        <v>0</v>
      </c>
      <c r="V111" s="13">
        <v>0</v>
      </c>
      <c r="W111" s="13"/>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v>0</v>
      </c>
      <c r="U112" s="13">
        <v>0</v>
      </c>
      <c r="V112" s="13">
        <v>0</v>
      </c>
      <c r="W112" s="13"/>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v>0</v>
      </c>
      <c r="U113" s="13">
        <v>0</v>
      </c>
      <c r="V113" s="13">
        <v>0</v>
      </c>
      <c r="W113" s="13"/>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v>5376</v>
      </c>
      <c r="U114" s="13">
        <v>0</v>
      </c>
      <c r="V114" s="13">
        <v>0</v>
      </c>
      <c r="W114" s="13"/>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v>0</v>
      </c>
      <c r="U115" s="13">
        <v>0</v>
      </c>
      <c r="V115" s="13">
        <v>0</v>
      </c>
      <c r="W115" s="13"/>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v>0</v>
      </c>
      <c r="U116" s="13">
        <v>0</v>
      </c>
      <c r="V116" s="13">
        <v>0</v>
      </c>
      <c r="W116" s="13"/>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v>0</v>
      </c>
      <c r="U119" s="13">
        <v>0</v>
      </c>
      <c r="V119" s="13">
        <v>0</v>
      </c>
      <c r="W119" s="13"/>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v>0</v>
      </c>
      <c r="U120" s="13">
        <v>0</v>
      </c>
      <c r="V120" s="13">
        <v>0</v>
      </c>
      <c r="W120" s="13"/>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14912168.84</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v>0</v>
      </c>
      <c r="U123" s="13">
        <v>0</v>
      </c>
      <c r="V123" s="13">
        <v>0</v>
      </c>
      <c r="W123" s="13"/>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c r="X124" s="13">
        <v>0</v>
      </c>
      <c r="Y124" s="13">
        <v>2308857.0699999998</v>
      </c>
      <c r="Z124" s="13">
        <v>0</v>
      </c>
      <c r="AA124" s="13">
        <v>1284803.01</v>
      </c>
      <c r="AB124" s="13">
        <v>158600</v>
      </c>
      <c r="AC124" s="13">
        <v>124603.98</v>
      </c>
      <c r="AD124" s="13">
        <v>2597257.9500000002</v>
      </c>
      <c r="AE124" s="13">
        <v>227404.75</v>
      </c>
      <c r="AF124" s="13">
        <f>SUM(E124:AE124)</f>
        <v>14208683.25</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v>0</v>
      </c>
      <c r="U125" s="13">
        <v>0</v>
      </c>
      <c r="V125" s="13">
        <v>0</v>
      </c>
      <c r="W125" s="13"/>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v>0</v>
      </c>
      <c r="U126" s="13">
        <v>26846</v>
      </c>
      <c r="V126" s="13">
        <v>0</v>
      </c>
      <c r="W126" s="13"/>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v>0</v>
      </c>
      <c r="U127" s="13">
        <v>0</v>
      </c>
      <c r="V127" s="13">
        <v>66.45</v>
      </c>
      <c r="W127" s="13"/>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v>0</v>
      </c>
      <c r="U130" s="13">
        <v>0</v>
      </c>
      <c r="V130" s="13">
        <v>0</v>
      </c>
      <c r="W130" s="13"/>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v>0</v>
      </c>
      <c r="U133" s="13">
        <v>0</v>
      </c>
      <c r="V133" s="13">
        <v>0</v>
      </c>
      <c r="W133" s="13"/>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v>0</v>
      </c>
      <c r="U134" s="13">
        <v>0</v>
      </c>
      <c r="V134" s="13">
        <v>0</v>
      </c>
      <c r="W134" s="13"/>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v>0</v>
      </c>
      <c r="U135" s="13">
        <v>0</v>
      </c>
      <c r="V135" s="13">
        <v>0</v>
      </c>
      <c r="W135" s="13"/>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v>0</v>
      </c>
      <c r="U136" s="13">
        <v>0</v>
      </c>
      <c r="V136" s="13">
        <v>0</v>
      </c>
      <c r="W136" s="13"/>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v>0</v>
      </c>
      <c r="U137" s="13">
        <v>0</v>
      </c>
      <c r="V137" s="13">
        <v>0</v>
      </c>
      <c r="W137" s="13"/>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v>0</v>
      </c>
      <c r="U138" s="13">
        <v>0</v>
      </c>
      <c r="V138" s="13">
        <v>0</v>
      </c>
      <c r="W138" s="13"/>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v>0</v>
      </c>
      <c r="U139" s="13">
        <v>0</v>
      </c>
      <c r="V139" s="13">
        <v>0</v>
      </c>
      <c r="W139" s="13"/>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v>0</v>
      </c>
      <c r="U142" s="13">
        <v>0</v>
      </c>
      <c r="V142" s="13">
        <v>0</v>
      </c>
      <c r="W142" s="13"/>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v>0</v>
      </c>
      <c r="U143" s="13">
        <v>350</v>
      </c>
      <c r="V143" s="13">
        <v>0</v>
      </c>
      <c r="W143" s="13"/>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v>0</v>
      </c>
      <c r="U144" s="13">
        <v>0</v>
      </c>
      <c r="V144" s="13">
        <v>0</v>
      </c>
      <c r="W144" s="13"/>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v>0</v>
      </c>
      <c r="U145" s="13">
        <v>0</v>
      </c>
      <c r="V145" s="13">
        <v>0</v>
      </c>
      <c r="W145" s="13"/>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v>-42.5</v>
      </c>
      <c r="U146" s="13">
        <v>0</v>
      </c>
      <c r="V146" s="13">
        <v>0</v>
      </c>
      <c r="W146" s="13"/>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v>0</v>
      </c>
      <c r="U147" s="13">
        <v>0</v>
      </c>
      <c r="V147" s="13">
        <v>0</v>
      </c>
      <c r="W147" s="13"/>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v>0</v>
      </c>
      <c r="U148" s="13">
        <v>0</v>
      </c>
      <c r="V148" s="13">
        <v>183345.69</v>
      </c>
      <c r="W148" s="13"/>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v>0</v>
      </c>
      <c r="U149" s="13">
        <v>0</v>
      </c>
      <c r="V149" s="13">
        <v>0</v>
      </c>
      <c r="W149" s="13"/>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614593</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v>-16811.82</v>
      </c>
      <c r="U155" s="13">
        <v>45462.36</v>
      </c>
      <c r="V155" s="13">
        <v>0</v>
      </c>
      <c r="W155" s="13"/>
      <c r="X155" s="13">
        <v>9217.26</v>
      </c>
      <c r="Y155" s="13">
        <v>77353.789999999994</v>
      </c>
      <c r="Z155" s="13">
        <v>34988.94</v>
      </c>
      <c r="AA155" s="13">
        <v>0</v>
      </c>
      <c r="AB155" s="13">
        <v>-15808.55</v>
      </c>
      <c r="AC155" s="13">
        <v>0</v>
      </c>
      <c r="AD155" s="13">
        <v>97289.64</v>
      </c>
      <c r="AE155" s="13">
        <v>-35326.9</v>
      </c>
      <c r="AF155" s="13">
        <f>SUM(E155:AE155)</f>
        <v>647342.49</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v>0</v>
      </c>
      <c r="U156" s="13">
        <v>0</v>
      </c>
      <c r="V156" s="13">
        <v>0</v>
      </c>
      <c r="W156" s="13"/>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614593</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614593.00000000745</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-7.4505805969238281E-9</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32112170.399999999</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32771772.600000001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12" sqref="A12"/>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2022'!$E$4:$AF$168,2,0)</f>
        <v>1691547.51</v>
      </c>
    </row>
    <row r="9" spans="1:5" ht="15" x14ac:dyDescent="0.25">
      <c r="A9" s="79"/>
      <c r="B9" s="79">
        <v>30</v>
      </c>
      <c r="C9" s="79"/>
      <c r="D9" s="79" t="s">
        <v>61</v>
      </c>
      <c r="E9" s="80">
        <f>HLOOKUP($D$5,'Syndicats comptes 2022'!$E$4:$AF$168,3,0)</f>
        <v>381344.05</v>
      </c>
    </row>
    <row r="10" spans="1:5" x14ac:dyDescent="0.2">
      <c r="C10" s="8">
        <v>300</v>
      </c>
      <c r="D10" s="8" t="s">
        <v>80</v>
      </c>
      <c r="E10" s="13">
        <f>HLOOKUP($D$5,'Syndicats comptes 2022'!$E$4:$AF$168,4,0)</f>
        <v>21724.1</v>
      </c>
    </row>
    <row r="11" spans="1:5" x14ac:dyDescent="0.2">
      <c r="C11" s="8">
        <v>301</v>
      </c>
      <c r="D11" s="8" t="s">
        <v>81</v>
      </c>
      <c r="E11" s="13">
        <f>HLOOKUP($D$5,'Syndicats comptes 2022'!$E$4:$AF$168,5,0)</f>
        <v>298856.65000000002</v>
      </c>
    </row>
    <row r="12" spans="1:5" x14ac:dyDescent="0.2">
      <c r="C12" s="8">
        <v>302</v>
      </c>
      <c r="D12" s="8" t="s">
        <v>82</v>
      </c>
      <c r="E12" s="13">
        <f>HLOOKUP($D$5,'Syndicats comptes 2022'!$E$4:$AF$168,6,0)</f>
        <v>0</v>
      </c>
    </row>
    <row r="13" spans="1:5" x14ac:dyDescent="0.2">
      <c r="C13" s="8">
        <v>303</v>
      </c>
      <c r="D13" s="8" t="s">
        <v>83</v>
      </c>
      <c r="E13" s="13">
        <f>HLOOKUP($D$5,'Syndicats comptes 2022'!$E$4:$AF$168,7,0)</f>
        <v>0</v>
      </c>
    </row>
    <row r="14" spans="1:5" x14ac:dyDescent="0.2">
      <c r="C14" s="8">
        <v>304</v>
      </c>
      <c r="D14" s="8" t="s">
        <v>578</v>
      </c>
      <c r="E14" s="13">
        <f>HLOOKUP($D$5,'Syndicats comptes 2022'!$E$4:$AF$168,8,0)</f>
        <v>0</v>
      </c>
    </row>
    <row r="15" spans="1:5" x14ac:dyDescent="0.2">
      <c r="C15" s="8">
        <v>305</v>
      </c>
      <c r="D15" s="8" t="s">
        <v>84</v>
      </c>
      <c r="E15" s="13">
        <f>HLOOKUP($D$5,'Syndicats comptes 2022'!$E$4:$AF$168,9,0)</f>
        <v>60583.3</v>
      </c>
    </row>
    <row r="16" spans="1:5" x14ac:dyDescent="0.2">
      <c r="C16" s="8">
        <v>306</v>
      </c>
      <c r="D16" s="8" t="s">
        <v>85</v>
      </c>
      <c r="E16" s="13">
        <f>HLOOKUP($D$5,'Syndicats comptes 2022'!$E$4:$AF$168,10,0)</f>
        <v>0</v>
      </c>
    </row>
    <row r="17" spans="2:5" x14ac:dyDescent="0.2">
      <c r="C17" s="8">
        <v>309</v>
      </c>
      <c r="D17" s="8" t="s">
        <v>86</v>
      </c>
      <c r="E17" s="13">
        <f>HLOOKUP($D$5,'Syndicats comptes 2022'!$E$4:$AF$168,11,0)</f>
        <v>180</v>
      </c>
    </row>
    <row r="18" spans="2:5" x14ac:dyDescent="0.2">
      <c r="E18" s="13"/>
    </row>
    <row r="19" spans="2:5" ht="15" x14ac:dyDescent="0.25">
      <c r="B19" s="79">
        <v>31</v>
      </c>
      <c r="C19" s="79"/>
      <c r="D19" s="79" t="s">
        <v>87</v>
      </c>
      <c r="E19" s="80">
        <f>HLOOKUP($D$5,'Syndicats comptes 2022'!$E$4:$AF$168,13,0)</f>
        <v>550749.17000000004</v>
      </c>
    </row>
    <row r="20" spans="2:5" x14ac:dyDescent="0.2">
      <c r="C20" s="8">
        <v>310</v>
      </c>
      <c r="D20" s="8" t="s">
        <v>88</v>
      </c>
      <c r="E20" s="13">
        <f>HLOOKUP($D$5,'Syndicats comptes 2022'!$E$4:$AF$168,14,0)</f>
        <v>150272.75</v>
      </c>
    </row>
    <row r="21" spans="2:5" x14ac:dyDescent="0.2">
      <c r="C21" s="8">
        <v>311</v>
      </c>
      <c r="D21" s="8" t="s">
        <v>449</v>
      </c>
      <c r="E21" s="13">
        <f>HLOOKUP($D$5,'Syndicats comptes 2022'!$E$4:$AF$168,15,0)</f>
        <v>21026.52</v>
      </c>
    </row>
    <row r="22" spans="2:5" x14ac:dyDescent="0.2">
      <c r="C22" s="8">
        <v>312</v>
      </c>
      <c r="D22" s="8" t="s">
        <v>90</v>
      </c>
      <c r="E22" s="13">
        <f>HLOOKUP($D$5,'Syndicats comptes 2022'!$E$4:$AF$168,16,0)</f>
        <v>108837.67</v>
      </c>
    </row>
    <row r="23" spans="2:5" x14ac:dyDescent="0.2">
      <c r="C23" s="8">
        <v>313</v>
      </c>
      <c r="D23" s="8" t="s">
        <v>91</v>
      </c>
      <c r="E23" s="13">
        <f>HLOOKUP($D$5,'Syndicats comptes 2022'!$E$4:$AF$168,17,0)</f>
        <v>139002.75</v>
      </c>
    </row>
    <row r="24" spans="2:5" x14ac:dyDescent="0.2">
      <c r="C24" s="8">
        <v>314</v>
      </c>
      <c r="D24" s="8" t="s">
        <v>841</v>
      </c>
      <c r="E24" s="13">
        <f>HLOOKUP($D$5,'Syndicats comptes 2022'!$E$4:$AF$168,18,0)</f>
        <v>77154.23</v>
      </c>
    </row>
    <row r="25" spans="2:5" x14ac:dyDescent="0.2">
      <c r="C25" s="8">
        <v>315</v>
      </c>
      <c r="D25" s="8" t="s">
        <v>92</v>
      </c>
      <c r="E25" s="13">
        <f>HLOOKUP($D$5,'Syndicats comptes 2022'!$E$4:$AF$168,19,0)</f>
        <v>51786.83</v>
      </c>
    </row>
    <row r="26" spans="2:5" x14ac:dyDescent="0.2">
      <c r="C26" s="8">
        <v>316</v>
      </c>
      <c r="D26" s="8" t="s">
        <v>93</v>
      </c>
      <c r="E26" s="13">
        <f>HLOOKUP($D$5,'Syndicats comptes 2022'!$E$4:$AF$168,20,0)</f>
        <v>0</v>
      </c>
    </row>
    <row r="27" spans="2:5" x14ac:dyDescent="0.2">
      <c r="C27" s="8">
        <v>317</v>
      </c>
      <c r="D27" s="8" t="s">
        <v>94</v>
      </c>
      <c r="E27" s="13">
        <f>HLOOKUP($D$5,'Syndicats comptes 2022'!$E$4:$AF$168,21,0)</f>
        <v>2619.79</v>
      </c>
    </row>
    <row r="28" spans="2:5" x14ac:dyDescent="0.2">
      <c r="C28" s="8">
        <v>318</v>
      </c>
      <c r="D28" s="8" t="s">
        <v>95</v>
      </c>
      <c r="E28" s="13">
        <f>HLOOKUP($D$5,'Syndicats comptes 2022'!$E$4:$AF$168,22,0)</f>
        <v>-216.9</v>
      </c>
    </row>
    <row r="29" spans="2:5" x14ac:dyDescent="0.2">
      <c r="C29" s="8">
        <v>319</v>
      </c>
      <c r="D29" s="8" t="s">
        <v>96</v>
      </c>
      <c r="E29" s="13">
        <f>HLOOKUP($D$5,'Syndicats comptes 2022'!$E$4:$AF$168,23,0)</f>
        <v>265.52999999999997</v>
      </c>
    </row>
    <row r="30" spans="2:5" x14ac:dyDescent="0.2">
      <c r="E30" s="13"/>
    </row>
    <row r="31" spans="2:5" ht="15" x14ac:dyDescent="0.25">
      <c r="B31" s="79">
        <v>33</v>
      </c>
      <c r="C31" s="79"/>
      <c r="D31" s="79" t="s">
        <v>97</v>
      </c>
      <c r="E31" s="80">
        <f>HLOOKUP($D$5,'Syndicats comptes 2022'!$E$4:$AF$168,25,0)</f>
        <v>153387.85</v>
      </c>
    </row>
    <row r="32" spans="2:5" x14ac:dyDescent="0.2">
      <c r="C32" s="8">
        <v>330</v>
      </c>
      <c r="D32" s="8" t="s">
        <v>99</v>
      </c>
      <c r="E32" s="13">
        <f>HLOOKUP($D$5,'Syndicats comptes 2022'!$E$4:$AF$168,26,0)</f>
        <v>153387.85</v>
      </c>
    </row>
    <row r="33" spans="2:5" x14ac:dyDescent="0.2">
      <c r="C33" s="8">
        <v>332</v>
      </c>
      <c r="D33" s="8" t="s">
        <v>98</v>
      </c>
      <c r="E33" s="13">
        <f>HLOOKUP($D$5,'Syndicats comptes 2022'!$E$4:$AF$168,27,0)</f>
        <v>0</v>
      </c>
    </row>
    <row r="34" spans="2:5" x14ac:dyDescent="0.2">
      <c r="E34" s="13"/>
    </row>
    <row r="35" spans="2:5" ht="15" x14ac:dyDescent="0.25">
      <c r="B35" s="79">
        <v>34</v>
      </c>
      <c r="C35" s="79"/>
      <c r="D35" s="79" t="s">
        <v>100</v>
      </c>
      <c r="E35" s="80">
        <f>HLOOKUP($D$5,'Syndicats comptes 2022'!$E$4:$AF$168,29,0)</f>
        <v>24306.44</v>
      </c>
    </row>
    <row r="36" spans="2:5" x14ac:dyDescent="0.2">
      <c r="C36" s="8">
        <v>340</v>
      </c>
      <c r="D36" s="8" t="s">
        <v>101</v>
      </c>
      <c r="E36" s="13">
        <f>HLOOKUP($D$5,'Syndicats comptes 2022'!$E$4:$AF$168,30,0)</f>
        <v>24306.44</v>
      </c>
    </row>
    <row r="37" spans="2:5" x14ac:dyDescent="0.2">
      <c r="C37" s="8">
        <v>341</v>
      </c>
      <c r="D37" s="8" t="s">
        <v>102</v>
      </c>
      <c r="E37" s="13">
        <f>HLOOKUP($D$5,'Syndicats comptes 2022'!$E$4:$AF$168,31,0)</f>
        <v>0</v>
      </c>
    </row>
    <row r="38" spans="2:5" x14ac:dyDescent="0.2">
      <c r="C38" s="8">
        <v>342</v>
      </c>
      <c r="D38" s="8" t="s">
        <v>103</v>
      </c>
      <c r="E38" s="13">
        <f>HLOOKUP($D$5,'Syndicats comptes 2022'!$E$4:$AF$168,32,0)</f>
        <v>0</v>
      </c>
    </row>
    <row r="39" spans="2:5" x14ac:dyDescent="0.2">
      <c r="C39" s="8">
        <v>343</v>
      </c>
      <c r="D39" s="8" t="s">
        <v>104</v>
      </c>
      <c r="E39" s="13">
        <f>HLOOKUP($D$5,'Syndicats comptes 2022'!$E$4:$AF$168,33,0)</f>
        <v>0</v>
      </c>
    </row>
    <row r="40" spans="2:5" x14ac:dyDescent="0.2">
      <c r="C40" s="8">
        <v>344</v>
      </c>
      <c r="D40" s="8" t="s">
        <v>105</v>
      </c>
      <c r="E40" s="13">
        <f>HLOOKUP($D$5,'Syndicats comptes 2022'!$E$4:$AF$168,34,0)</f>
        <v>0</v>
      </c>
    </row>
    <row r="41" spans="2:5" x14ac:dyDescent="0.2">
      <c r="C41" s="8">
        <v>349</v>
      </c>
      <c r="D41" s="8" t="s">
        <v>106</v>
      </c>
      <c r="E41" s="13">
        <f>HLOOKUP($D$5,'Syndicats comptes 2022'!$E$4:$AF$168,35,0)</f>
        <v>0</v>
      </c>
    </row>
    <row r="42" spans="2:5" x14ac:dyDescent="0.2">
      <c r="E42" s="13"/>
    </row>
    <row r="43" spans="2:5" ht="15" x14ac:dyDescent="0.25">
      <c r="B43" s="79">
        <v>35</v>
      </c>
      <c r="C43" s="79"/>
      <c r="D43" s="79" t="s">
        <v>108</v>
      </c>
      <c r="E43" s="80">
        <f>HLOOKUP($D$5,'Syndicats comptes 2022'!$E$4:$AF$168,37,0)</f>
        <v>581760</v>
      </c>
    </row>
    <row r="44" spans="2:5" x14ac:dyDescent="0.2">
      <c r="C44" s="8">
        <v>350</v>
      </c>
      <c r="D44" s="8" t="s">
        <v>108</v>
      </c>
      <c r="E44" s="13">
        <f>HLOOKUP($D$5,'Syndicats comptes 2022'!$E$4:$AF$168,38,0)</f>
        <v>0</v>
      </c>
    </row>
    <row r="45" spans="2:5" x14ac:dyDescent="0.2">
      <c r="C45" s="8">
        <v>351</v>
      </c>
      <c r="D45" s="8" t="s">
        <v>107</v>
      </c>
      <c r="E45" s="13">
        <f>HLOOKUP($D$5,'Syndicats comptes 2022'!$E$4:$AF$168,39,0)</f>
        <v>581760</v>
      </c>
    </row>
    <row r="46" spans="2:5" x14ac:dyDescent="0.2">
      <c r="E46" s="13"/>
    </row>
    <row r="47" spans="2:5" ht="15" x14ac:dyDescent="0.25">
      <c r="B47" s="79">
        <v>36</v>
      </c>
      <c r="C47" s="79"/>
      <c r="D47" s="79" t="s">
        <v>109</v>
      </c>
      <c r="E47" s="80">
        <f>HLOOKUP($D$5,'Syndicats comptes 2022'!$E$4:$AF$168,41,0)</f>
        <v>0</v>
      </c>
    </row>
    <row r="48" spans="2:5" x14ac:dyDescent="0.2">
      <c r="C48" s="8">
        <v>360</v>
      </c>
      <c r="D48" s="8" t="s">
        <v>110</v>
      </c>
      <c r="E48" s="13">
        <f>HLOOKUP($D$5,'Syndicats comptes 2022'!$E$4:$AF$168,42,0)</f>
        <v>0</v>
      </c>
    </row>
    <row r="49" spans="2:5" x14ac:dyDescent="0.2">
      <c r="C49" s="8">
        <v>361</v>
      </c>
      <c r="D49" s="8" t="s">
        <v>111</v>
      </c>
      <c r="E49" s="13">
        <f>HLOOKUP($D$5,'Syndicats comptes 2022'!$E$4:$AF$168,43,0)</f>
        <v>0</v>
      </c>
    </row>
    <row r="50" spans="2:5" x14ac:dyDescent="0.2">
      <c r="C50" s="8">
        <v>362</v>
      </c>
      <c r="D50" s="8" t="s">
        <v>112</v>
      </c>
      <c r="E50" s="13">
        <f>HLOOKUP($D$5,'Syndicats comptes 2022'!$E$4:$AF$168,44,0)</f>
        <v>0</v>
      </c>
    </row>
    <row r="51" spans="2:5" x14ac:dyDescent="0.2">
      <c r="C51" s="8">
        <v>363</v>
      </c>
      <c r="D51" s="8" t="s">
        <v>113</v>
      </c>
      <c r="E51" s="13">
        <f>HLOOKUP($D$5,'Syndicats comptes 2022'!$E$4:$AF$168,45,0)</f>
        <v>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0</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0</v>
      </c>
    </row>
    <row r="67" spans="1:5" x14ac:dyDescent="0.2">
      <c r="E67" s="13"/>
    </row>
    <row r="68" spans="1:5" ht="15" x14ac:dyDescent="0.25">
      <c r="B68" s="79">
        <v>39</v>
      </c>
      <c r="C68" s="79"/>
      <c r="D68" s="79" t="s">
        <v>127</v>
      </c>
      <c r="E68" s="80">
        <f>HLOOKUP($D$5,'Syndicats comptes 2022'!$E$4:$AF$168,62,0)</f>
        <v>0</v>
      </c>
    </row>
    <row r="69" spans="1:5" x14ac:dyDescent="0.2">
      <c r="C69" s="8">
        <v>390</v>
      </c>
      <c r="D69" s="8" t="s">
        <v>128</v>
      </c>
      <c r="E69" s="13">
        <f>HLOOKUP($D$5,'Syndicats comptes 2022'!$E$4:$AF$168,63,0)</f>
        <v>0</v>
      </c>
    </row>
    <row r="70" spans="1:5" x14ac:dyDescent="0.2">
      <c r="C70" s="8">
        <v>391</v>
      </c>
      <c r="D70" s="8" t="s">
        <v>129</v>
      </c>
      <c r="E70" s="13">
        <f>HLOOKUP($D$5,'Syndicats comptes 2022'!$E$4:$AF$168,64,0)</f>
        <v>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0</v>
      </c>
    </row>
    <row r="74" spans="1:5" x14ac:dyDescent="0.2">
      <c r="C74" s="8">
        <v>395</v>
      </c>
      <c r="D74" s="8" t="s">
        <v>133</v>
      </c>
      <c r="E74" s="13">
        <f>HLOOKUP($D$5,'Syndicats comptes 2022'!$E$4:$AF$168,68,0)</f>
        <v>0</v>
      </c>
    </row>
    <row r="75" spans="1:5" x14ac:dyDescent="0.2">
      <c r="C75" s="8">
        <v>398</v>
      </c>
      <c r="D75" s="8" t="s">
        <v>134</v>
      </c>
      <c r="E75" s="13">
        <f>HLOOKUP($D$5,'Syndicats comptes 2022'!$E$4:$AF$168,69,0)</f>
        <v>0</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1691547.51</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159366.85</v>
      </c>
    </row>
    <row r="93" spans="2:5" x14ac:dyDescent="0.2">
      <c r="C93" s="8">
        <v>420</v>
      </c>
      <c r="D93" s="8" t="s">
        <v>147</v>
      </c>
      <c r="E93" s="13">
        <f>HLOOKUP($D$5,'Syndicats comptes 2022'!$E$4:$AF$168,87,0)</f>
        <v>0</v>
      </c>
    </row>
    <row r="94" spans="2:5" x14ac:dyDescent="0.2">
      <c r="C94" s="8">
        <v>421</v>
      </c>
      <c r="D94" s="8" t="s">
        <v>148</v>
      </c>
      <c r="E94" s="13">
        <f>HLOOKUP($D$5,'Syndicats comptes 2022'!$E$4:$AF$168,88,0)</f>
        <v>4800</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4232.75</v>
      </c>
    </row>
    <row r="98" spans="2:5" x14ac:dyDescent="0.2">
      <c r="C98" s="8">
        <v>425</v>
      </c>
      <c r="D98" s="8" t="s">
        <v>152</v>
      </c>
      <c r="E98" s="13">
        <f>HLOOKUP($D$5,'Syndicats comptes 2022'!$E$4:$AF$168,92,0)</f>
        <v>25927.599999999999</v>
      </c>
    </row>
    <row r="99" spans="2:5" x14ac:dyDescent="0.2">
      <c r="C99" s="8">
        <v>426</v>
      </c>
      <c r="D99" s="8" t="s">
        <v>153</v>
      </c>
      <c r="E99" s="13">
        <f>HLOOKUP($D$5,'Syndicats comptes 2022'!$E$4:$AF$168,93,0)</f>
        <v>124406.5</v>
      </c>
    </row>
    <row r="100" spans="2:5" x14ac:dyDescent="0.2">
      <c r="C100" s="8">
        <v>427</v>
      </c>
      <c r="D100" s="8" t="s">
        <v>154</v>
      </c>
      <c r="E100" s="13">
        <f>HLOOKUP($D$5,'Syndicats comptes 2022'!$E$4:$AF$168,94,0)</f>
        <v>0</v>
      </c>
    </row>
    <row r="101" spans="2:5" x14ac:dyDescent="0.2">
      <c r="C101" s="8">
        <v>429</v>
      </c>
      <c r="D101" s="8" t="s">
        <v>155</v>
      </c>
      <c r="E101" s="13">
        <f>HLOOKUP($D$5,'Syndicats comptes 2022'!$E$4:$AF$168,95,0)</f>
        <v>0</v>
      </c>
    </row>
    <row r="102" spans="2:5" x14ac:dyDescent="0.2">
      <c r="E102" s="13"/>
    </row>
    <row r="103" spans="2:5" ht="15" x14ac:dyDescent="0.25">
      <c r="B103" s="81">
        <v>43</v>
      </c>
      <c r="C103" s="81"/>
      <c r="D103" s="81" t="s">
        <v>156</v>
      </c>
      <c r="E103" s="82">
        <f>HLOOKUP($D$5,'Syndicats comptes 2022'!$E$4:$AF$168,97,0)</f>
        <v>69580</v>
      </c>
    </row>
    <row r="104" spans="2:5" x14ac:dyDescent="0.2">
      <c r="C104" s="8">
        <v>430</v>
      </c>
      <c r="D104" s="8" t="s">
        <v>157</v>
      </c>
      <c r="E104" s="13">
        <f>HLOOKUP($D$5,'Syndicats comptes 2022'!$E$4:$AF$168,98,0)</f>
        <v>69580</v>
      </c>
    </row>
    <row r="105" spans="2:5" x14ac:dyDescent="0.2">
      <c r="C105" s="8">
        <v>431</v>
      </c>
      <c r="D105" s="8" t="s">
        <v>158</v>
      </c>
      <c r="E105" s="13">
        <f>HLOOKUP($D$5,'Syndicats comptes 2022'!$E$4:$AF$168,99,0)</f>
        <v>0</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0</v>
      </c>
    </row>
    <row r="108" spans="2:5" x14ac:dyDescent="0.2">
      <c r="E108" s="13"/>
    </row>
    <row r="109" spans="2:5" ht="15" x14ac:dyDescent="0.25">
      <c r="B109" s="81">
        <v>44</v>
      </c>
      <c r="C109" s="81"/>
      <c r="D109" s="81" t="s">
        <v>161</v>
      </c>
      <c r="E109" s="82">
        <f>HLOOKUP($D$5,'Syndicats comptes 2022'!$E$4:$AF$168,103,0)</f>
        <v>88.3</v>
      </c>
    </row>
    <row r="110" spans="2:5" x14ac:dyDescent="0.2">
      <c r="C110" s="8">
        <v>440</v>
      </c>
      <c r="D110" s="8" t="s">
        <v>162</v>
      </c>
      <c r="E110" s="13">
        <f>HLOOKUP($D$5,'Syndicats comptes 2022'!$E$4:$AF$168,104,0)</f>
        <v>88.3</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0</v>
      </c>
    </row>
    <row r="114" spans="2:5" x14ac:dyDescent="0.2">
      <c r="C114" s="8">
        <v>444</v>
      </c>
      <c r="D114" s="8" t="s">
        <v>105</v>
      </c>
      <c r="E114" s="13">
        <f>HLOOKUP($D$5,'Syndicats comptes 2022'!$E$4:$AF$168,108,0)</f>
        <v>0</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0</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177420.79999999999</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177420.79999999999</v>
      </c>
    </row>
    <row r="124" spans="2:5" x14ac:dyDescent="0.2">
      <c r="E124" s="13"/>
    </row>
    <row r="125" spans="2:5" ht="15" x14ac:dyDescent="0.25">
      <c r="B125" s="81">
        <v>46</v>
      </c>
      <c r="C125" s="81"/>
      <c r="D125" s="81" t="s">
        <v>174</v>
      </c>
      <c r="E125" s="82">
        <f>HLOOKUP($D$5,'Syndicats comptes 2022'!$E$4:$AF$168,119,0)</f>
        <v>1285091.56</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1284803.01</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0</v>
      </c>
    </row>
    <row r="130" spans="2:5" x14ac:dyDescent="0.2">
      <c r="C130" s="8">
        <v>469</v>
      </c>
      <c r="D130" s="8" t="s">
        <v>178</v>
      </c>
      <c r="E130" s="13">
        <f>HLOOKUP($D$5,'Syndicats comptes 2022'!$E$4:$AF$168,124,0)</f>
        <v>288.55</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0</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0</v>
      </c>
    </row>
    <row r="143" spans="2:5" x14ac:dyDescent="0.2">
      <c r="E143" s="13"/>
    </row>
    <row r="144" spans="2:5" ht="15" x14ac:dyDescent="0.25">
      <c r="B144" s="81">
        <v>49</v>
      </c>
      <c r="C144" s="81"/>
      <c r="D144" s="81" t="s">
        <v>127</v>
      </c>
      <c r="E144" s="82">
        <f>HLOOKUP($D$5,'Syndicats comptes 2022'!$E$4:$AF$168,138,0)</f>
        <v>0</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0</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0</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0</v>
      </c>
    </row>
    <row r="158" spans="1:5" x14ac:dyDescent="0.2">
      <c r="C158" s="8">
        <v>900</v>
      </c>
      <c r="D158" s="8" t="s">
        <v>195</v>
      </c>
      <c r="E158" s="13">
        <f>HLOOKUP($D$5,'Syndicats comptes 2022'!$E$4:$AF$168,152,0)</f>
        <v>0</v>
      </c>
    </row>
    <row r="159" spans="1:5" x14ac:dyDescent="0.2">
      <c r="C159" s="8">
        <v>901</v>
      </c>
      <c r="D159" s="8" t="s">
        <v>196</v>
      </c>
      <c r="E159" s="13">
        <f>HLOOKUP($D$5,'Syndicats comptes 2022'!$E$4:$AF$168,153,0)</f>
        <v>0</v>
      </c>
    </row>
    <row r="160" spans="1:5" x14ac:dyDescent="0.2">
      <c r="E160" s="13"/>
    </row>
    <row r="161" spans="4:5" ht="15" x14ac:dyDescent="0.25">
      <c r="D161" s="7" t="s">
        <v>197</v>
      </c>
      <c r="E161" s="13">
        <f>HLOOKUP($D$5,'Syndicats comptes 2022'!$E$4:$AF$168,155,0)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12" sqref="A12"/>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614593</v>
      </c>
    </row>
    <row r="8" spans="1:3" x14ac:dyDescent="0.2">
      <c r="A8" s="101">
        <v>900</v>
      </c>
      <c r="B8" s="102" t="s">
        <v>218</v>
      </c>
      <c r="C8" s="103">
        <f>'Syndicats comptes 2022'!AF155</f>
        <v>647342.49</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12" sqref="A12"/>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801</v>
      </c>
    </row>
    <row r="9" spans="1:3" ht="15" x14ac:dyDescent="0.25">
      <c r="A9" s="100" t="s">
        <v>215</v>
      </c>
      <c r="B9" s="100" t="s">
        <v>200</v>
      </c>
      <c r="C9" s="100" t="s">
        <v>852</v>
      </c>
    </row>
    <row r="10" spans="1:3" x14ac:dyDescent="0.2">
      <c r="A10" s="101">
        <v>90</v>
      </c>
      <c r="B10" s="102" t="s">
        <v>217</v>
      </c>
      <c r="C10" s="103">
        <f>HLOOKUP($B$6,'Syndicats comptes 2022'!$E$4:$AF$169,151,0)</f>
        <v>45462.36</v>
      </c>
    </row>
    <row r="11" spans="1:3" x14ac:dyDescent="0.2">
      <c r="A11" s="101">
        <v>900</v>
      </c>
      <c r="B11" s="102" t="s">
        <v>218</v>
      </c>
      <c r="C11" s="103">
        <f>HLOOKUP($B$6,'Syndicats comptes 2022'!$E$4:$AF$169,152,0)</f>
        <v>45462.36</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12" sqref="A12"/>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32112170.399999999</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32771772.600000001</v>
      </c>
    </row>
    <row r="11" spans="1:3" ht="15" x14ac:dyDescent="0.25">
      <c r="A11" s="102"/>
      <c r="B11" s="104" t="s">
        <v>204</v>
      </c>
      <c r="C11" s="105">
        <f>C10-C9</f>
        <v>659602.20000000298</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873481.56000000308</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668344.90000000317</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12" sqref="A12"/>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801</v>
      </c>
    </row>
    <row r="8" spans="1:3" ht="15" x14ac:dyDescent="0.25">
      <c r="A8" s="100" t="s">
        <v>199</v>
      </c>
      <c r="B8" s="100" t="s">
        <v>200</v>
      </c>
      <c r="C8" s="100" t="s">
        <v>201</v>
      </c>
    </row>
    <row r="9" spans="1:3" x14ac:dyDescent="0.2">
      <c r="A9" s="101" t="s">
        <v>208</v>
      </c>
      <c r="B9" s="102" t="s">
        <v>202</v>
      </c>
      <c r="C9" s="103">
        <f>HLOOKUP($B$6,'Syndicats comptes 2022'!$E$4:$AF$168,164,0)</f>
        <v>63440.39</v>
      </c>
    </row>
    <row r="10" spans="1:3" x14ac:dyDescent="0.2">
      <c r="A10" s="101" t="s">
        <v>209</v>
      </c>
      <c r="B10" s="102" t="s">
        <v>203</v>
      </c>
      <c r="C10" s="103">
        <f>HLOOKUP($B$6,'Syndicats comptes 2022'!$E$4:$AF$168,165,0)</f>
        <v>72843.350000000006</v>
      </c>
    </row>
    <row r="11" spans="1:3" ht="15" x14ac:dyDescent="0.25">
      <c r="A11" s="102"/>
      <c r="B11" s="104" t="s">
        <v>204</v>
      </c>
      <c r="C11" s="105">
        <f>C10-C9</f>
        <v>9402.9600000000064</v>
      </c>
    </row>
    <row r="12" spans="1:3" x14ac:dyDescent="0.2">
      <c r="A12" s="102"/>
      <c r="B12" s="102"/>
      <c r="C12" s="102"/>
    </row>
    <row r="13" spans="1:3" x14ac:dyDescent="0.2">
      <c r="A13" s="102">
        <v>34</v>
      </c>
      <c r="B13" s="102" t="s">
        <v>100</v>
      </c>
      <c r="C13" s="103">
        <f>HLOOKUP($B$6,'Syndicats comptes 2022'!$E$4:$AF$168,29,0)</f>
        <v>106346.37000000001</v>
      </c>
    </row>
    <row r="14" spans="1:3" x14ac:dyDescent="0.2">
      <c r="A14" s="102">
        <v>44</v>
      </c>
      <c r="B14" s="102" t="s">
        <v>161</v>
      </c>
      <c r="C14" s="103">
        <f>HLOOKUP($B$6,'Syndicats comptes 2022'!$E$4:$AF$168,103,0)</f>
        <v>142405.76999999999</v>
      </c>
    </row>
    <row r="15" spans="1:3" ht="15" x14ac:dyDescent="0.25">
      <c r="A15" s="102"/>
      <c r="B15" s="104" t="s">
        <v>237</v>
      </c>
      <c r="C15" s="105">
        <f>C14-C13</f>
        <v>36059.39999999998</v>
      </c>
    </row>
    <row r="16" spans="1:3" x14ac:dyDescent="0.2">
      <c r="A16" s="102"/>
      <c r="B16" s="102"/>
      <c r="C16" s="102"/>
    </row>
    <row r="17" spans="1:3" ht="15" x14ac:dyDescent="0.25">
      <c r="A17" s="102"/>
      <c r="B17" s="104" t="s">
        <v>205</v>
      </c>
      <c r="C17" s="105">
        <f>C11+C15</f>
        <v>45462.359999999986</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45462.359999999986</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W5" activePane="bottomRight" state="frozen"/>
      <selection activeCell="A12" sqref="A12"/>
      <selection pane="topRight" activeCell="A12" sqref="A12"/>
      <selection pane="bottomLeft" activeCell="A12" sqref="A12"/>
      <selection pane="bottomRight" activeCell="A12" sqref="A12"/>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160137847.59</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40347699.629999995</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22921896.640000004</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v>869.35</v>
      </c>
      <c r="W8" s="13">
        <v>0</v>
      </c>
      <c r="X8" s="13"/>
      <c r="Y8" s="13">
        <v>0</v>
      </c>
      <c r="Z8" s="13">
        <v>6362.61</v>
      </c>
      <c r="AA8" s="13">
        <v>583.20000000000005</v>
      </c>
      <c r="AB8" s="13">
        <v>0</v>
      </c>
      <c r="AC8" s="13">
        <v>166.2</v>
      </c>
      <c r="AD8" s="13">
        <v>96.15</v>
      </c>
      <c r="AE8" s="13">
        <v>1080.7</v>
      </c>
      <c r="AF8" s="13">
        <v>105</v>
      </c>
      <c r="AG8" s="99">
        <f t="shared" si="1"/>
        <v>13704.960000000001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v>0</v>
      </c>
      <c r="W9" s="13">
        <v>0</v>
      </c>
      <c r="X9" s="13"/>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c r="Y10" s="13">
        <v>2200350.17</v>
      </c>
      <c r="Z10" s="13">
        <v>1579092.65</v>
      </c>
      <c r="AA10" s="13">
        <v>303814.07</v>
      </c>
      <c r="AB10" s="13">
        <v>3283899.32</v>
      </c>
      <c r="AC10" s="13">
        <v>348112.36</v>
      </c>
      <c r="AD10" s="13">
        <v>123069.07</v>
      </c>
      <c r="AE10" s="13">
        <v>158609.92000000001</v>
      </c>
      <c r="AF10" s="13">
        <v>563558.05000000005</v>
      </c>
      <c r="AG10" s="99">
        <f t="shared" si="1"/>
        <v>21812516.550000001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v>0</v>
      </c>
      <c r="W11" s="13">
        <v>0</v>
      </c>
      <c r="X11" s="13"/>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v>0</v>
      </c>
      <c r="W12" s="13">
        <v>0</v>
      </c>
      <c r="X12" s="13"/>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v>0</v>
      </c>
      <c r="W13" s="13">
        <v>0</v>
      </c>
      <c r="X13" s="13"/>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3869592.72</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v>10175.75</v>
      </c>
      <c r="W16" s="13">
        <v>0</v>
      </c>
      <c r="X16" s="13"/>
      <c r="Y16" s="13">
        <v>285034.44</v>
      </c>
      <c r="Z16" s="13">
        <v>450001.27</v>
      </c>
      <c r="AA16" s="13">
        <v>0</v>
      </c>
      <c r="AB16" s="13">
        <v>47993.2</v>
      </c>
      <c r="AC16" s="13">
        <v>0</v>
      </c>
      <c r="AD16" s="13">
        <v>30948.58</v>
      </c>
      <c r="AE16" s="13">
        <v>261722.35</v>
      </c>
      <c r="AF16" s="13">
        <v>150293.5</v>
      </c>
      <c r="AG16" s="99">
        <f t="shared" si="5"/>
        <v>3493888.7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v>0</v>
      </c>
      <c r="W17" s="13">
        <v>15235.58</v>
      </c>
      <c r="X17" s="13"/>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v>0</v>
      </c>
      <c r="W18" s="13">
        <v>0</v>
      </c>
      <c r="X18" s="13"/>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v>0</v>
      </c>
      <c r="W19" s="13">
        <v>0</v>
      </c>
      <c r="X19" s="13"/>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v>0</v>
      </c>
      <c r="W20" s="13">
        <v>0</v>
      </c>
      <c r="X20" s="13"/>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v>0</v>
      </c>
      <c r="W21" s="13">
        <v>0</v>
      </c>
      <c r="X21" s="13"/>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v>0</v>
      </c>
      <c r="W22" s="13">
        <v>0</v>
      </c>
      <c r="X22" s="13"/>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v>0</v>
      </c>
      <c r="W23" s="13">
        <v>0</v>
      </c>
      <c r="X23" s="13"/>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v>0</v>
      </c>
      <c r="W26" s="13">
        <v>0</v>
      </c>
      <c r="X26" s="13"/>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v>0</v>
      </c>
      <c r="W27" s="13">
        <v>0</v>
      </c>
      <c r="X27" s="13"/>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v>0</v>
      </c>
      <c r="W28" s="13">
        <v>0</v>
      </c>
      <c r="X28" s="13"/>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v>0</v>
      </c>
      <c r="W29" s="13">
        <v>0</v>
      </c>
      <c r="X29" s="13"/>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2998829.4200000009</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v>0</v>
      </c>
      <c r="W32" s="13">
        <v>0</v>
      </c>
      <c r="X32" s="13"/>
      <c r="Y32" s="13">
        <v>0</v>
      </c>
      <c r="Z32" s="13">
        <v>0</v>
      </c>
      <c r="AA32" s="13">
        <v>0</v>
      </c>
      <c r="AB32" s="13">
        <v>0</v>
      </c>
      <c r="AC32" s="13">
        <v>0</v>
      </c>
      <c r="AD32" s="13">
        <v>0</v>
      </c>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v>0</v>
      </c>
      <c r="W33" s="13">
        <v>0</v>
      </c>
      <c r="X33" s="13"/>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v>0</v>
      </c>
      <c r="W34" s="13">
        <v>0</v>
      </c>
      <c r="X34" s="13"/>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v>99.45</v>
      </c>
      <c r="W35" s="13">
        <v>0</v>
      </c>
      <c r="X35" s="13"/>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v>0</v>
      </c>
      <c r="W36" s="13">
        <v>0</v>
      </c>
      <c r="X36" s="13"/>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v>8600</v>
      </c>
      <c r="W37" s="13">
        <v>0</v>
      </c>
      <c r="X37" s="13"/>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v>0</v>
      </c>
      <c r="W38" s="13">
        <v>0</v>
      </c>
      <c r="X38" s="13"/>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v>0</v>
      </c>
      <c r="W39" s="13">
        <v>0</v>
      </c>
      <c r="X39" s="13"/>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v>0</v>
      </c>
      <c r="W42" s="13">
        <v>0</v>
      </c>
      <c r="X42" s="13"/>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v>0</v>
      </c>
      <c r="W43" s="13">
        <v>0</v>
      </c>
      <c r="X43" s="13"/>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v>0</v>
      </c>
      <c r="W44" s="13">
        <v>0</v>
      </c>
      <c r="X44" s="13"/>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v>0</v>
      </c>
      <c r="W45" s="13">
        <v>0</v>
      </c>
      <c r="X45" s="13"/>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v>0</v>
      </c>
      <c r="W46" s="13">
        <v>0</v>
      </c>
      <c r="X46" s="13"/>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v>700</v>
      </c>
      <c r="W49" s="13">
        <v>0</v>
      </c>
      <c r="X49" s="13"/>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v>0</v>
      </c>
      <c r="W50" s="13">
        <v>0</v>
      </c>
      <c r="X50" s="13"/>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v>0</v>
      </c>
      <c r="W51" s="13">
        <v>0</v>
      </c>
      <c r="X51" s="13"/>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v>0</v>
      </c>
      <c r="W52" s="13">
        <v>0</v>
      </c>
      <c r="X52" s="13"/>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v>0</v>
      </c>
      <c r="W55" s="13">
        <v>0</v>
      </c>
      <c r="X55" s="13"/>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v>2319265.25</v>
      </c>
      <c r="W56" s="13">
        <v>0</v>
      </c>
      <c r="X56" s="13"/>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v>0</v>
      </c>
      <c r="W57" s="13">
        <v>0</v>
      </c>
      <c r="X57" s="13"/>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v>423033.1</v>
      </c>
      <c r="W58" s="13">
        <v>0</v>
      </c>
      <c r="X58" s="13"/>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v>0</v>
      </c>
      <c r="W59" s="13">
        <v>0</v>
      </c>
      <c r="X59" s="13"/>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v>0</v>
      </c>
      <c r="W60" s="13">
        <v>0</v>
      </c>
      <c r="X60" s="13"/>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v>0</v>
      </c>
      <c r="W63" s="13">
        <v>0</v>
      </c>
      <c r="X63" s="13"/>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v>0</v>
      </c>
      <c r="W64" s="13">
        <v>0</v>
      </c>
      <c r="X64" s="13"/>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v>0</v>
      </c>
      <c r="W65" s="13">
        <v>0</v>
      </c>
      <c r="X65" s="13"/>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v>0</v>
      </c>
      <c r="W66" s="13">
        <v>0</v>
      </c>
      <c r="X66" s="13"/>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v>0</v>
      </c>
      <c r="W70" s="13">
        <v>0</v>
      </c>
      <c r="X70" s="13"/>
      <c r="Y70" s="13">
        <v>16120</v>
      </c>
      <c r="Z70" s="13">
        <v>0</v>
      </c>
      <c r="AA70" s="13">
        <v>0</v>
      </c>
      <c r="AB70" s="13">
        <v>0</v>
      </c>
      <c r="AC70" s="13">
        <v>0</v>
      </c>
      <c r="AD70" s="13">
        <v>0</v>
      </c>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v>0</v>
      </c>
      <c r="W71" s="13">
        <v>0</v>
      </c>
      <c r="X71" s="13"/>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v>0</v>
      </c>
      <c r="W72" s="13">
        <v>0</v>
      </c>
      <c r="X72" s="13"/>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v>0</v>
      </c>
      <c r="W73" s="13">
        <v>0</v>
      </c>
      <c r="X73" s="13"/>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v>0</v>
      </c>
      <c r="W74" s="13">
        <v>1355034.64</v>
      </c>
      <c r="X74" s="13"/>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v>0</v>
      </c>
      <c r="W75" s="13">
        <v>0</v>
      </c>
      <c r="X75" s="13"/>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v>0</v>
      </c>
      <c r="W76" s="13">
        <v>0</v>
      </c>
      <c r="X76" s="13"/>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v>0</v>
      </c>
      <c r="W77" s="13">
        <v>0</v>
      </c>
      <c r="X77" s="13"/>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v>0</v>
      </c>
      <c r="W78" s="13">
        <v>0</v>
      </c>
      <c r="X78" s="13"/>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v>0</v>
      </c>
      <c r="W81" s="13">
        <v>0</v>
      </c>
      <c r="X81" s="13"/>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v>0</v>
      </c>
      <c r="W82" s="13">
        <v>0</v>
      </c>
      <c r="X82" s="13"/>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v>0</v>
      </c>
      <c r="W83" s="13">
        <v>0</v>
      </c>
      <c r="X83" s="13"/>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v>0</v>
      </c>
      <c r="W84" s="13">
        <v>0</v>
      </c>
      <c r="X84" s="13"/>
      <c r="Y84" s="13">
        <v>0</v>
      </c>
      <c r="Z84" s="13">
        <v>0</v>
      </c>
      <c r="AA84" s="13">
        <v>73513.8</v>
      </c>
      <c r="AB84" s="13">
        <v>0</v>
      </c>
      <c r="AC84" s="13">
        <v>0</v>
      </c>
      <c r="AD84" s="13">
        <v>0</v>
      </c>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v>0</v>
      </c>
      <c r="W87" s="13">
        <v>0</v>
      </c>
      <c r="X87" s="13"/>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v>0</v>
      </c>
      <c r="W88" s="13">
        <v>0</v>
      </c>
      <c r="X88" s="13"/>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v>0</v>
      </c>
      <c r="W89" s="13">
        <v>0</v>
      </c>
      <c r="X89" s="13"/>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v>0</v>
      </c>
      <c r="W90" s="13">
        <v>0</v>
      </c>
      <c r="X90" s="13"/>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v>0</v>
      </c>
      <c r="W91" s="13">
        <v>0</v>
      </c>
      <c r="X91" s="13"/>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v>0</v>
      </c>
      <c r="W92" s="13">
        <v>0</v>
      </c>
      <c r="X92" s="13"/>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v>0</v>
      </c>
      <c r="W93" s="13">
        <v>0</v>
      </c>
      <c r="X93" s="13"/>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v>0</v>
      </c>
      <c r="W94" s="13">
        <v>0</v>
      </c>
      <c r="X94" s="13"/>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v>0</v>
      </c>
      <c r="W95" s="13">
        <v>0</v>
      </c>
      <c r="X95" s="13"/>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v>0</v>
      </c>
      <c r="W98" s="13">
        <v>0</v>
      </c>
      <c r="X98" s="13"/>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v>0</v>
      </c>
      <c r="W99" s="13">
        <v>0</v>
      </c>
      <c r="X99" s="13"/>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v>0</v>
      </c>
      <c r="W100" s="13">
        <v>0</v>
      </c>
      <c r="X100" s="13"/>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v>0</v>
      </c>
      <c r="W101" s="13">
        <v>0</v>
      </c>
      <c r="X101" s="13"/>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v>0</v>
      </c>
      <c r="W102" s="13">
        <v>0</v>
      </c>
      <c r="X102" s="13"/>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v>0</v>
      </c>
      <c r="W103" s="13">
        <v>0</v>
      </c>
      <c r="X103" s="13"/>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v>0</v>
      </c>
      <c r="W104" s="13">
        <v>0</v>
      </c>
      <c r="X104" s="13"/>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v>0</v>
      </c>
      <c r="W105" s="13">
        <v>0</v>
      </c>
      <c r="X105" s="13"/>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v>0</v>
      </c>
      <c r="W106" s="13">
        <v>0</v>
      </c>
      <c r="X106" s="13"/>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v>0</v>
      </c>
      <c r="W109" s="13">
        <v>0</v>
      </c>
      <c r="X109" s="13"/>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v>0</v>
      </c>
      <c r="W110" s="13">
        <v>0</v>
      </c>
      <c r="X110" s="13"/>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v>0</v>
      </c>
      <c r="W111" s="13">
        <v>0</v>
      </c>
      <c r="X111" s="13"/>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v>0</v>
      </c>
      <c r="W112" s="13">
        <v>0</v>
      </c>
      <c r="X112" s="13"/>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v>0</v>
      </c>
      <c r="W113" s="13">
        <v>0</v>
      </c>
      <c r="X113" s="13"/>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v>0</v>
      </c>
      <c r="W114" s="13">
        <v>0</v>
      </c>
      <c r="X114" s="13"/>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v>0</v>
      </c>
      <c r="W115" s="13">
        <v>0</v>
      </c>
      <c r="X115" s="13"/>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v>0</v>
      </c>
      <c r="W116" s="13">
        <v>0</v>
      </c>
      <c r="X116" s="13"/>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v>0</v>
      </c>
      <c r="W117" s="13">
        <v>0</v>
      </c>
      <c r="X117" s="13"/>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v>0</v>
      </c>
      <c r="W118" s="13">
        <v>0</v>
      </c>
      <c r="X118" s="13"/>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160137847.59</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55155859.170000009</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5009194.7299999995</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c r="Y124" s="13">
        <v>44394.85</v>
      </c>
      <c r="Z124" s="13">
        <v>842523.41</v>
      </c>
      <c r="AA124" s="13">
        <v>0</v>
      </c>
      <c r="AB124" s="13">
        <v>159802.84</v>
      </c>
      <c r="AC124" s="13">
        <v>0</v>
      </c>
      <c r="AD124" s="13">
        <v>0</v>
      </c>
      <c r="AE124" s="13">
        <v>100806.99</v>
      </c>
      <c r="AF124" s="13">
        <v>0</v>
      </c>
      <c r="AG124" s="99">
        <f t="shared" si="28"/>
        <v>3324064.12</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v>0</v>
      </c>
      <c r="W125" s="13">
        <v>0</v>
      </c>
      <c r="X125" s="13"/>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v>0</v>
      </c>
      <c r="W126" s="13">
        <v>0</v>
      </c>
      <c r="X126" s="13"/>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v>0</v>
      </c>
      <c r="W127" s="13">
        <v>0</v>
      </c>
      <c r="X127" s="13"/>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v>0</v>
      </c>
      <c r="W128" s="13">
        <v>0</v>
      </c>
      <c r="X128" s="13"/>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v>0</v>
      </c>
      <c r="W129" s="13">
        <v>0</v>
      </c>
      <c r="X129" s="13"/>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v>0</v>
      </c>
      <c r="W130" s="13">
        <v>0</v>
      </c>
      <c r="X130" s="13"/>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v>0</v>
      </c>
      <c r="W131" s="13">
        <v>0</v>
      </c>
      <c r="X131" s="13"/>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v>0</v>
      </c>
      <c r="W134" s="13">
        <v>504806.42</v>
      </c>
      <c r="X134" s="13"/>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v>0</v>
      </c>
      <c r="W135" s="13">
        <v>350264.05</v>
      </c>
      <c r="X135" s="13"/>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v>0</v>
      </c>
      <c r="W136" s="13">
        <v>0</v>
      </c>
      <c r="X136" s="13"/>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v>0</v>
      </c>
      <c r="W137" s="13">
        <v>0</v>
      </c>
      <c r="X137" s="13"/>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v>0</v>
      </c>
      <c r="W138" s="13">
        <v>0</v>
      </c>
      <c r="X138" s="13"/>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v>0</v>
      </c>
      <c r="W139" s="13">
        <v>0</v>
      </c>
      <c r="X139" s="13"/>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v>0</v>
      </c>
      <c r="W140" s="13">
        <v>0</v>
      </c>
      <c r="X140" s="13"/>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v>0</v>
      </c>
      <c r="W141" s="13">
        <v>0</v>
      </c>
      <c r="X141" s="13"/>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1275273.1300000001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v>0</v>
      </c>
      <c r="W144" s="13">
        <v>0</v>
      </c>
      <c r="X144" s="13"/>
      <c r="Y144" s="13">
        <v>0</v>
      </c>
      <c r="Z144" s="13">
        <v>0</v>
      </c>
      <c r="AA144" s="13">
        <v>0</v>
      </c>
      <c r="AB144" s="13">
        <v>4660</v>
      </c>
      <c r="AC144" s="13">
        <v>0</v>
      </c>
      <c r="AD144" s="13">
        <v>0</v>
      </c>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v>0</v>
      </c>
      <c r="W146" s="13">
        <v>0</v>
      </c>
      <c r="X146" s="13"/>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v>0</v>
      </c>
      <c r="W147" s="13">
        <v>0</v>
      </c>
      <c r="X147" s="13"/>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v>0</v>
      </c>
      <c r="W148" s="13">
        <v>0</v>
      </c>
      <c r="X148" s="13"/>
      <c r="Y148" s="13">
        <v>0</v>
      </c>
      <c r="Z148" s="13">
        <v>0</v>
      </c>
      <c r="AA148" s="13">
        <v>0</v>
      </c>
      <c r="AB148" s="13">
        <v>0</v>
      </c>
      <c r="AC148" s="13">
        <v>0</v>
      </c>
      <c r="AD148" s="13">
        <v>0</v>
      </c>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v>0</v>
      </c>
      <c r="W149" s="13">
        <v>0</v>
      </c>
      <c r="X149" s="13"/>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v>0</v>
      </c>
      <c r="W150" s="13">
        <v>0</v>
      </c>
      <c r="X150" s="13"/>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v>800</v>
      </c>
      <c r="W151" s="13">
        <v>0</v>
      </c>
      <c r="X151" s="13"/>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v>0</v>
      </c>
      <c r="W154" s="13">
        <v>0</v>
      </c>
      <c r="X154" s="13"/>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v>0</v>
      </c>
      <c r="W155" s="13">
        <v>0</v>
      </c>
      <c r="X155" s="13"/>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v>0</v>
      </c>
      <c r="W156" s="13">
        <v>0</v>
      </c>
      <c r="X156" s="13"/>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v>0</v>
      </c>
      <c r="W157" s="13">
        <v>0</v>
      </c>
      <c r="X157" s="13"/>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v>0</v>
      </c>
      <c r="W158" s="13">
        <v>0</v>
      </c>
      <c r="X158" s="13"/>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v>0</v>
      </c>
      <c r="W159" s="13">
        <v>0</v>
      </c>
      <c r="X159" s="13"/>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v>0</v>
      </c>
      <c r="W160" s="13">
        <v>0</v>
      </c>
      <c r="X160" s="13"/>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v>0</v>
      </c>
      <c r="W161" s="13">
        <v>0</v>
      </c>
      <c r="X161" s="13"/>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v>0</v>
      </c>
      <c r="W162" s="13">
        <v>0</v>
      </c>
      <c r="X162" s="13"/>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v>0</v>
      </c>
      <c r="W163" s="13">
        <v>0</v>
      </c>
      <c r="X163" s="13"/>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37577166.210000001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v>0</v>
      </c>
      <c r="W166" s="13">
        <v>0</v>
      </c>
      <c r="X166" s="13"/>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v>0</v>
      </c>
      <c r="W167" s="13">
        <v>0</v>
      </c>
      <c r="X167" s="13"/>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v>2640900</v>
      </c>
      <c r="W168" s="13">
        <v>500000</v>
      </c>
      <c r="X168" s="13"/>
      <c r="Y168" s="13">
        <v>170400</v>
      </c>
      <c r="Z168" s="13">
        <v>13163600</v>
      </c>
      <c r="AA168" s="13">
        <v>1709300</v>
      </c>
      <c r="AB168" s="13">
        <v>0</v>
      </c>
      <c r="AC168" s="13">
        <v>0</v>
      </c>
      <c r="AD168" s="13">
        <v>0</v>
      </c>
      <c r="AE168" s="13">
        <v>7350000</v>
      </c>
      <c r="AF168" s="13">
        <v>0</v>
      </c>
      <c r="AG168" s="99">
        <f t="shared" si="38"/>
        <v>34307086.210000001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v>0</v>
      </c>
      <c r="W169" s="13">
        <v>0</v>
      </c>
      <c r="X169" s="13"/>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v>0</v>
      </c>
      <c r="W170" s="13">
        <v>0</v>
      </c>
      <c r="X170" s="13"/>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v>0</v>
      </c>
      <c r="W171" s="13">
        <v>0</v>
      </c>
      <c r="X171" s="13"/>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v>0</v>
      </c>
      <c r="W174" s="13">
        <v>0</v>
      </c>
      <c r="X174" s="13"/>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v>0</v>
      </c>
      <c r="W175" s="13">
        <v>0</v>
      </c>
      <c r="X175" s="13"/>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v>0</v>
      </c>
      <c r="W176" s="13">
        <v>0</v>
      </c>
      <c r="X176" s="13"/>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v>0</v>
      </c>
      <c r="W177" s="13">
        <v>0</v>
      </c>
      <c r="X177" s="13"/>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v>0</v>
      </c>
      <c r="W178" s="13">
        <v>0</v>
      </c>
      <c r="X178" s="13"/>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v>0</v>
      </c>
      <c r="W179" s="13">
        <v>0</v>
      </c>
      <c r="X179" s="13"/>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v>0</v>
      </c>
      <c r="W180" s="13">
        <v>0</v>
      </c>
      <c r="X180" s="13"/>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v>0</v>
      </c>
      <c r="W181" s="13">
        <v>0</v>
      </c>
      <c r="X181" s="13"/>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v>0</v>
      </c>
      <c r="W182" s="13">
        <v>0</v>
      </c>
      <c r="X182" s="13"/>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v>0</v>
      </c>
      <c r="W185" s="13">
        <v>0</v>
      </c>
      <c r="X185" s="13"/>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v>0</v>
      </c>
      <c r="W186" s="13">
        <v>0</v>
      </c>
      <c r="X186" s="13"/>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v>0</v>
      </c>
      <c r="W187" s="13">
        <v>0</v>
      </c>
      <c r="X187" s="13"/>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v>0</v>
      </c>
      <c r="W188" s="13">
        <v>0</v>
      </c>
      <c r="X188" s="13"/>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104981988.42</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v>135995.63</v>
      </c>
      <c r="W192" s="13">
        <v>0</v>
      </c>
      <c r="X192" s="13"/>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v>0</v>
      </c>
      <c r="W195" s="13">
        <v>0</v>
      </c>
      <c r="X195" s="13"/>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v>0</v>
      </c>
      <c r="W196" s="13">
        <v>0</v>
      </c>
      <c r="X196" s="13"/>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v>0</v>
      </c>
      <c r="W199" s="13">
        <v>15199.75</v>
      </c>
      <c r="X199" s="13"/>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v>0</v>
      </c>
      <c r="W202" s="13">
        <v>0</v>
      </c>
      <c r="X202" s="13"/>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v>18546.03</v>
      </c>
      <c r="W205" s="13">
        <v>0</v>
      </c>
      <c r="X205" s="13"/>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v>0</v>
      </c>
      <c r="W208" s="13">
        <v>0</v>
      </c>
      <c r="X208" s="13"/>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v>0</v>
      </c>
      <c r="W211" s="13">
        <v>0</v>
      </c>
      <c r="X211" s="13"/>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v>0</v>
      </c>
      <c r="W214" s="13">
        <v>0</v>
      </c>
      <c r="X214" s="13"/>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7059830.6399999987</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v>45462.36</v>
      </c>
      <c r="W217" s="19">
        <v>0</v>
      </c>
      <c r="X217" s="19"/>
      <c r="Y217" s="19">
        <v>9217.26</v>
      </c>
      <c r="Z217" s="19">
        <v>-63598.28</v>
      </c>
      <c r="AA217" s="19">
        <v>34988.94</v>
      </c>
      <c r="AB217" s="19">
        <v>0</v>
      </c>
      <c r="AC217" s="19">
        <v>-15808.55</v>
      </c>
      <c r="AD217" s="19">
        <v>0</v>
      </c>
      <c r="AE217" s="19">
        <v>97289.64</v>
      </c>
      <c r="AF217" s="19">
        <v>0</v>
      </c>
      <c r="AG217" s="129">
        <f>SUM(F217:AF217)</f>
        <v>421601.78999999992</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v>371669.66</v>
      </c>
      <c r="W218" s="19">
        <v>0</v>
      </c>
      <c r="X218" s="19"/>
      <c r="Y218" s="19">
        <v>780721.75</v>
      </c>
      <c r="Z218" s="19">
        <v>958472.09</v>
      </c>
      <c r="AA218" s="19">
        <v>269070.58</v>
      </c>
      <c r="AB218" s="19">
        <v>0</v>
      </c>
      <c r="AC218" s="19">
        <v>364928.56</v>
      </c>
      <c r="AD218" s="19">
        <v>0</v>
      </c>
      <c r="AE218" s="19">
        <v>194376.68</v>
      </c>
      <c r="AF218" s="19">
        <v>-65480.75</v>
      </c>
      <c r="AG218" s="129">
        <f>SUM(F218:AF218)</f>
        <v>6638228.8499999987</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421601.78999999992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388852.29999999993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12" sqref="A12"/>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U1" workbookViewId="0">
      <selection activeCell="A12" sqref="A12"/>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40347699.629999995</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55155859.170000009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5009194.7299999995</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37577166.210000001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53344242.370000005</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12" sqref="A12"/>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801</v>
      </c>
    </row>
    <row r="6" spans="1:3" ht="15" customHeight="1" x14ac:dyDescent="0.25">
      <c r="C6" s="33"/>
    </row>
    <row r="7" spans="1:3" ht="15" customHeight="1" x14ac:dyDescent="0.25">
      <c r="C7" s="144" t="s">
        <v>201</v>
      </c>
    </row>
    <row r="8" spans="1:3" x14ac:dyDescent="0.2">
      <c r="A8" s="8">
        <v>10</v>
      </c>
      <c r="B8" s="8" t="s">
        <v>239</v>
      </c>
      <c r="C8" s="13">
        <f>HLOOKUP($B$5,'Syndicats endettement'!C7:AD24,2,0)</f>
        <v>3236632.1</v>
      </c>
    </row>
    <row r="9" spans="1:3" x14ac:dyDescent="0.2">
      <c r="C9" s="13"/>
    </row>
    <row r="10" spans="1:3" x14ac:dyDescent="0.2">
      <c r="A10" s="8">
        <v>20</v>
      </c>
      <c r="B10" s="8" t="s">
        <v>251</v>
      </c>
      <c r="C10" s="13">
        <f>HLOOKUP($B$5,'Syndicats endettement'!$C$7:$AD$21,4,0)</f>
        <v>2664958.42</v>
      </c>
    </row>
    <row r="11" spans="1:3" x14ac:dyDescent="0.2">
      <c r="C11" s="13"/>
    </row>
    <row r="12" spans="1:3" x14ac:dyDescent="0.2">
      <c r="A12" s="8">
        <v>200</v>
      </c>
      <c r="B12" s="8" t="s">
        <v>448</v>
      </c>
      <c r="C12" s="13">
        <f>HLOOKUP($B$5,'Syndicats endettement'!$C$7:$AD$21,6,0)</f>
        <v>23258.42</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2640900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2664158.42</v>
      </c>
    </row>
    <row r="22" spans="1:3" ht="15" x14ac:dyDescent="0.25">
      <c r="B22" s="140" t="s">
        <v>495</v>
      </c>
      <c r="C22" s="142">
        <f>C21-C8</f>
        <v>-572473.68000000017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2023-11-13T07:53:05Z</cp:lastPrinted>
  <dcterms:created xsi:type="dcterms:W3CDTF">2015-10-26T07:38:03Z</dcterms:created>
  <dcterms:modified xsi:type="dcterms:W3CDTF">2023-11-14T07:21:10Z</dcterms:modified>
</cp:coreProperties>
</file>