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7" activeTab="37"/>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<sst xmlns="http://schemas.openxmlformats.org/spreadsheetml/2006/main" count="5689" uniqueCount="893">
  <si>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</si>
  <si>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</si>
  <si>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</si>
  <si>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</si>
  <si>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</si>
  <si>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</si>
  <si>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</si>
  <si>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</si>
  <si>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</si>
  <si>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</si>
  <si>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</si>
  <si>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</si>
  <si>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</si>
  <si>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</si>
  <si>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</si>
  <si>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</si>
  <si>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</si>
  <si>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</si>
  <si>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</si>
  <si>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</si>
  <si>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</si>
  <si>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</si>
  <si>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</si>
  <si>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</si>
  <si>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</si>
  <si>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</si>
  <si>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</si>
  <si>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</si>
  <si>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</si>
  <si>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</si>
  <si>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</si>
  <si>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</si>
  <si>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</si>
  <si>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</si>
  <si>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</si>
  <si>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</si>
  <si>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</si>
  <si>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</si>
  <si>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</si>
  <si>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</si>
  <si>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</si>
  <si>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</si>
  <si>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</si>
  <si>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</si>
  <si>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</si>
  <si>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</si>
  <si>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</si>
  <si>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</si>
  <si>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</si>
  <si>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</si>
  <si>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</si>
  <si>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</si>
  <si>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</si>
  <si>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</si>
  <si>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</si>
  <si>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</si>
  <si>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</si>
  <si>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</si>
  <si>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</si>
  <si>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</si>
  <si>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</si>
  <si>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</si>
  <si>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</si>
  <si>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</si>
  <si>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</si>
  <si>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</si>
  <si>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</si>
  <si>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</si>
  <si>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</si>
  <si>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</si>
  <si>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</si>
  <si>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</si>
  <si>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</si>
  <si>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</si>
  <si>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</si>
  <si>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</si>
  <si>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</si>
  <si>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</si>
  <si>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</si>
  <si>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</si>
  <si>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</si>
  <si>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</si>
  <si>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</si>
  <si>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</si>
  <si>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</si>
  <si>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</si>
  <si>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</si>
  <si>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</si>
  <si>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</si>
  <si>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</si>
  <si>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</si>
  <si>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</si>
  <si>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</si>
  <si>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</si>
  <si>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</si>
  <si>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</si>
  <si>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</si>
  <si>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</si>
  <si>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</si>
  <si>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</si>
  <si>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</si>
  <si>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</si>
  <si>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</si>
  <si>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</si>
  <si>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</si>
  <si>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</si>
  <si>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</si>
  <si>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</si>
  <si>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</si>
  <si>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</si>
  <si>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</si>
  <si>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</si>
  <si>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</si>
  <si>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</si>
  <si>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</si>
  <si>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</si>
  <si>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</si>
  <si>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</si>
  <si>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</si>
  <si>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</si>
  <si>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</si>
  <si>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</si>
  <si>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</si>
  <si>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</si>
  <si>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</si>
  <si>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</si>
  <si>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</si>
  <si>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</si>
  <si>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</si>
  <si>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</si>
  <si>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</si>
  <si>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</si>
  <si>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</si>
  <si>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</si>
  <si>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</si>
  <si>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</si>
  <si>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</si>
  <si>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</si>
  <si>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</si>
  <si>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</si>
  <si>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</si>
  <si>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</si>
  <si>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</si>
  <si>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</si>
  <si>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</si>
  <si>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</si>
  <si>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</si>
  <si>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</si>
  <si>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</si>
  <si>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</si>
  <si>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</si>
  <si>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</si>
  <si>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</si>
  <si>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</si>
  <si>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</si>
  <si>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</si>
  <si>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</si>
  <si>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</si>
  <si>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</si>
  <si>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</si>
  <si>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</si>
  <si>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</si>
  <si>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</si>
  <si>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</si>
  <si>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</si>
  <si>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</si>
  <si>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</si>
  <si>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</si>
  <si>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</si>
  <si>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</si>
  <si>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</si>
  <si>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</si>
  <si>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</si>
  <si>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</si>
  <si>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</si>
  <si>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</si>
  <si>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</si>
  <si>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</si>
  <si>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</si>
  <si>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</si>
  <si>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</si>
  <si>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</si>
  <si>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</si>
  <si>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</si>
  <si>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</si>
  <si>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</si>
  <si>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</si>
  <si>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</si>
  <si>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</si>
  <si>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</si>
  <si>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</si>
  <si>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</si>
  <si>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</si>
  <si>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</si>
  <si>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</si>
  <si>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</si>
  <si>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</si>
  <si>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</si>
  <si>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</si>
  <si>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</si>
  <si>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</si>
  <si>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</si>
  <si>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</si>
  <si>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</si>
  <si>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</si>
  <si>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</si>
  <si>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</si>
  <si>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</si>
  <si>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</si>
  <si>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</si>
  <si>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</si>
  <si>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</si>
  <si>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</si>
  <si>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</si>
  <si>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</si>
  <si>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</si>
  <si>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</si>
  <si>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</si>
  <si>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</si>
  <si>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</si>
  <si>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</si>
  <si>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</si>
  <si>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</si>
  <si>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</si>
  <si>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</si>
  <si>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</si>
  <si>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</si>
  <si>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</si>
  <si>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</si>
  <si>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</si>
  <si>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</si>
  <si>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</si>
  <si>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</si>
  <si>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</si>
  <si>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</si>
  <si>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</si>
  <si>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</si>
  <si>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</si>
  <si>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</si>
  <si>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</si>
  <si>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</si>
  <si>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</si>
  <si>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</si>
  <si>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</si>
  <si>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</si>
  <si>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</si>
  <si>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</si>
  <si>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</si>
  <si>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</si>
  <si>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</si>
  <si>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</si>
  <si>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</si>
  <si>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</si>
  <si>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</si>
  <si>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</si>
  <si>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</si>
  <si>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</si>
  <si>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</si>
  <si>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</si>
  <si>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</si>
  <si>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</si>
  <si>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</si>
  <si>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</si>
  <si>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</si>
  <si>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</si>
  <si>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</si>
  <si>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</si>
  <si>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</si>
  <si>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</si>
  <si>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</si>
  <si>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</si>
  <si>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</si>
  <si>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</si>
  <si>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</si>
  <si>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</si>
  <si>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</si>
  <si>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</si>
  <si>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</si>
  <si>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</si>
  <si>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</si>
  <si>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</si>
  <si>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</si>
  <si>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</si>
  <si>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</si>
  <si>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</si>
  <si>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</si>
  <si>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</si>
  <si>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</si>
  <si>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</si>
  <si>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</si>
  <si>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</si>
  <si>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</si>
  <si>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</si>
  <si>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</si>
  <si>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</si>
  <si>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</si>
  <si>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</si>
  <si>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</si>
  <si>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</si>
  <si>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</si>
  <si>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</si>
  <si>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</si>
  <si>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</si>
  <si>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</si>
  <si>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</si>
  <si>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</si>
  <si>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</si>
  <si>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</si>
  <si>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</si>
  <si>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</si>
  <si>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</si>
  <si>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</si>
  <si>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</si>
  <si>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</si>
  <si>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</si>
  <si>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</si>
  <si>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</si>
  <si>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</si>
  <si>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</si>
  <si>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</si>
  <si>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</si>
  <si>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</si>
  <si>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</si>
  <si>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</si>
  <si>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</si>
  <si>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</si>
  <si>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</si>
  <si>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</si>
  <si>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</si>
  <si>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</si>
  <si>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</si>
  <si>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</si>
  <si>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</si>
  <si>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</si>
  <si>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</si>
  <si>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</si>
  <si>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</si>
  <si>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</si>
  <si>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</si>
  <si>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</si>
  <si>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</si>
  <si>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</si>
  <si>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</si>
  <si>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</si>
  <si>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</si>
  <si>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</si>
  <si>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</si>
  <si>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</si>
  <si>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</si>
  <si>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</si>
  <si>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</si>
  <si>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</si>
  <si>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</si>
  <si>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</si>
  <si>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</si>
  <si>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</si>
  <si>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</si>
  <si>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</si>
  <si>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</si>
  <si>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</si>
  <si>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</si>
  <si>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</si>
  <si>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</si>
  <si>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</si>
  <si>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</si>
  <si>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</si>
  <si>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</si>
  <si>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</si>
  <si>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</si>
  <si>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</si>
  <si>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</si>
  <si>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</si>
  <si>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</si>
  <si>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</si>
  <si>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</si>
  <si>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</si>
  <si>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</si>
  <si>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</si>
  <si>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</si>
  <si>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</si>
  <si>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</si>
  <si>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</si>
  <si>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</si>
  <si>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</si>
  <si>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</si>
  <si>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</si>
  <si>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</si>
  <si>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</si>
  <si>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</si>
  <si>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</si>
  <si>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</si>
  <si>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</si>
  <si>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</si>
  <si>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</si>
  <si>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</si>
  <si>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</si>
  <si>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</si>
  <si>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</si>
  <si>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</si>
  <si>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</si>
  <si>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</si>
  <si>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</si>
  <si>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</si>
  <si>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</si>
  <si>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</si>
  <si>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</si>
  <si>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</si>
  <si>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</si>
  <si>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</si>
  <si>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</si>
  <si>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</si>
  <si>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</si>
  <si>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</si>
  <si>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</si>
  <si>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</si>
  <si>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</si>
  <si>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</si>
  <si>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</si>
  <si>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</si>
  <si>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</si>
  <si>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</si>
  <si>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</si>
  <si>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</si>
  <si>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</si>
  <si>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</si>
  <si>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</si>
  <si>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</si>
  <si>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</si>
  <si>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</si>
  <si>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</si>
  <si>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</si>
  <si>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</si>
  <si>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</si>
  <si>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</si>
  <si>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</si>
  <si>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</si>
  <si>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</si>
  <si>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</si>
  <si>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</si>
  <si>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</si>
  <si>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</si>
  <si>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</si>
  <si>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</si>
  <si>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</si>
  <si>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</si>
  <si>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</si>
  <si>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</si>
  <si>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</si>
  <si>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</si>
  <si>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</si>
  <si>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</si>
  <si>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</si>
  <si>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</si>
  <si>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</si>
  <si>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</si>
  <si>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</si>
  <si>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</si>
  <si>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</si>
  <si>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</si>
  <si>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</si>
  <si>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</si>
  <si>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</si>
  <si>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</si>
  <si>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</si>
  <si>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</si>
  <si>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</si>
  <si>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</si>
  <si>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</si>
  <si>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</si>
  <si>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</si>
  <si>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</si>
  <si>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</si>
  <si>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</si>
  <si>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</si>
  <si>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</si>
  <si>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</si>
  <si>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</si>
  <si>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</si>
  <si>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</si>
  <si>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</si>
  <si>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</si>
  <si>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</si>
  <si>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</si>
  <si>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</si>
  <si>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</si>
  <si>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</si>
  <si>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</si>
  <si>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</si>
  <si>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</si>
  <si>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</si>
  <si>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</si>
  <si>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</si>
  <si>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</si>
  <si>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</si>
  <si>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</si>
  <si>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</si>
  <si>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</si>
  <si>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</si>
  <si>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</si>
  <si>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</si>
  <si>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</si>
  <si>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</si>
  <si>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</si>
  <si>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</si>
  <si>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</si>
  <si>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</si>
  <si>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</si>
  <si>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</si>
  <si>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</si>
  <si>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</si>
  <si>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</si>
  <si>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</si>
  <si>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</si>
  <si>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</si>
  <si>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</si>
  <si>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</si>
  <si>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</si>
  <si>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</si>
  <si>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</si>
  <si>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</si>
  <si>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</si>
  <si>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</si>
  <si>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</si>
  <si>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</si>
  <si>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</si>
  <si>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</si>
  <si>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</si>
  <si>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</si>
  <si>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</si>
  <si>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</si>
  <si>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</si>
  <si>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</si>
  <si>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</si>
  <si>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</si>
  <si>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</si>
  <si>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</si>
  <si>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</si>
  <si>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</si>
  <si>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</si>
  <si>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</si>
  <si>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</si>
  <si>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</si>
  <si>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</si>
  <si>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</si>
  <si>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</si>
  <si>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</si>
  <si>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</si>
  <si>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</si>
  <si>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</si>
  <si>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</si>
  <si>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</si>
  <si>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</si>
  <si>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</si>
  <si>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</si>
  <si>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</si>
  <si>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</si>
  <si>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</si>
  <si>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</si>
  <si>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</si>
  <si>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</si>
  <si>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</si>
  <si>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</si>
  <si>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</si>
  <si>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</si>
  <si>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</si>
  <si>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</si>
  <si>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</si>
  <si>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</si>
  <si>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</si>
  <si>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</si>
  <si>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</si>
  <si>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</si>
  <si>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</si>
  <si>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</si>
  <si>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</si>
  <si>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</si>
  <si>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</si>
  <si>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</si>
  <si>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</si>
  <si>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</si>
  <si>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</si>
  <si>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</si>
  <si>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</si>
  <si>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</si>
  <si>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</si>
  <si>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</si>
  <si>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</si>
  <si>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</si>
  <si>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</si>
  <si>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</si>
  <si>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</si>
  <si>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</si>
  <si>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</si>
  <si>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</si>
  <si>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</si>
  <si>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</si>
  <si>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</si>
  <si>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</si>
  <si>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</si>
  <si>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</si>
  <si>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</si>
  <si>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</si>
  <si>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</si>
  <si>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</si>
  <si>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</si>
  <si>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</si>
  <si>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</si>
  <si>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</si>
  <si>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</si>
  <si>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</si>
  <si>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</si>
  <si>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</si>
  <si>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</si>
  <si>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</si>
  <si>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</si>
  <si>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</si>
  <si>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</si>
  <si>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</si>
  <si>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</si>
  <si>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</si>
  <si>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</si>
  <si>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</si>
  <si>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</si>
  <si>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</si>
  <si>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</si>
  <si>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</si>
  <si>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</si>
  <si>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</si>
  <si>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</si>
  <si>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</si>
  <si>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</si>
  <si>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</si>
  <si>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</si>
  <si>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</si>
  <si>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</si>
  <si>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</si>
  <si>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</si>
  <si>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</si>
  <si>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</si>
  <si>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</si>
  <si>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</si>
  <si>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</si>
  <si>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</si>
  <si>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</si>
  <si>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</si>
  <si>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</si>
  <si>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</si>
  <si>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</si>
  <si>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</si>
  <si>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</si>
  <si>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</si>
  <si>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</si>
  <si>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</si>
  <si>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</si>
  <si>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</si>
  <si>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</si>
  <si>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</si>
  <si>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</si>
  <si>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</si>
  <si>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</si>
  <si>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</si>
  <si>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</si>
  <si>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</si>
  <si>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</si>
  <si>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</si>
  <si>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</si>
  <si>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</si>
  <si>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</si>
  <si>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</si>
  <si>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</si>
  <si>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</si>
  <si>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</si>
  <si>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</si>
  <si>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</si>
  <si>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</si>
  <si>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</si>
  <si>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</si>
  <si>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</si>
  <si>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</si>
  <si>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</si>
  <si>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</si>
  <si>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</si>
  <si>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</si>
  <si>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</si>
  <si>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</si>
  <si>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</si>
  <si>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</si>
  <si>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</si>
  <si>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</si>
  <si>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</si>
  <si>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</si>
  <si>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</si>
  <si>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</si>
  <si>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</si>
  <si>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</si>
  <si>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</si>
  <si>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</si>
  <si>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</si>
  <si>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</si>
  <si>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</si>
  <si>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</si>
  <si>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</si>
  <si>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</si>
  <si>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</si>
  <si>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</si>
  <si>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</si>
  <si>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</si>
  <si>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</si>
  <si>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</si>
  <si>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</si>
  <si>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</si>
  <si>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</si>
  <si>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</si>
  <si>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</si>
  <si>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</si>
  <si>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</si>
  <si>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</si>
  <si>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</si>
  <si>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</si>
  <si>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</si>
  <si>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</si>
  <si>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</si>
  <si>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</si>
  <si>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</si>
  <si>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</si>
  <si>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</si>
  <si>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</si>
  <si>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</si>
  <si>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</si>
  <si>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</si>
  <si>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</si>
  <si>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</si>
  <si>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</si>
  <si>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</si>
  <si>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</si>
  <si>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</si>
  <si>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</si>
  <si>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</si>
  <si>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</si>
  <si>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</si>
  <si>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</si>
  <si>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</si>
  <si>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</si>
  <si>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</si>
  <si>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</si>
  <si>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</si>
  <si>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</si>
  <si>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</si>
  <si>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</si>
  <si>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</si>
  <si>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</si>
  <si>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</si>
  <si>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</si>
  <si>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</si>
  <si>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</si>
  <si>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</si>
  <si>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</si>
  <si>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</si>
  <si>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</si>
  <si>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</si>
  <si>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</si>
  <si>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</si>
  <si>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</si>
  <si>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</si>
  <si>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</si>
  <si>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</si>
  <si>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</si>
  <si>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</si>
  <si>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</si>
  <si>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</si>
  <si>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</si>
  <si>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</si>
  <si>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</si>
  <si>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</si>
  <si>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</si>
  <si>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</si>
  <si>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</si>
  <si>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</si>
  <si>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</si>
  <si>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</si>
  <si>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</si>
  <si>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</si>
  <si>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</si>
  <si>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</si>
  <si>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</si>
  <si>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</si>
  <si>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</si>
  <si>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</si>
  <si>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</si>
  <si>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</si>
  <si>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</si>
  <si>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</si>
  <si>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</si>
  <si>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</si>
  <si>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</si>
  <si>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</si>
  <si>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</si>
  <si>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</si>
  <si>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</si>
  <si>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</si>
  <si>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</si>
  <si>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</si>
  <si>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</si>
  <si>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</si>
  <si>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</si>
  <si>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</si>
  <si>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</si>
  <si>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</si>
  <si>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</si>
  <si>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</si>
  <si>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</si>
  <si>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</si>
  <si>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</si>
  <si>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</si>
  <si>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</si>
  <si>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</si>
  <si>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</si>
  <si>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</si>
  <si>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</si>
  <si>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</si>
  <si>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</si>
  <si>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</si>
  <si>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</si>
  <si>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</si>
  <si>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</si>
  <si>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</si>
  <si>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</si>
  <si>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</si>
  <si>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</si>
  <si>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</si>
  <si>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</si>
  <si>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</si>
  <si>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</si>
  <si>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</si>
  <si>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</si>
  <si>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</si>
  <si>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</si>
  <si>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</si>
  <si>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</si>
  <si>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</si>
  <si>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</si>
  <si>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</si>
  <si>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</si>
  <si>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</si>
  <si>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</si>
  <si>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</si>
  <si>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</si>
  <si>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</si>
  <si>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</si>
  <si>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</si>
  <si>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</si>
  <si>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</si>
  <si>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</si>
  <si>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</si>
  <si>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</si>
  <si>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</si>
  <si>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</si>
  <si>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</si>
  <si>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</si>
  <si>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</si>
  <si>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</si>
  <si>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</si>
  <si>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</si>
  <si>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</si>
  <si>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</si>
  <si>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</si>
  <si>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</si>
  <si>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</si>
  <si>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</si>
  <si>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</si>
  <si>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</si>
  <si>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</si>
  <si>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</si>
  <si>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</si>
  <si>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</si>
  <si>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</si>
  <si>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</si>
  <si>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</si>
  <si>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</si>
  <si>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</si>
  <si>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</si>
  <si>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</si>
  <si>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</si>
  <si>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</si>
  <si>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</si>
  <si>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</si>
  <si>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</si>
  <si>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</si>
  <si>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</si>
  <si>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</si>
  <si>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</si>
  <si>
    <r>
      <t xml:space="preserve">Endettement brut </t>
    </r>
    <r>
      <rPr>
        <sz val="9"/>
        <rFont val="Arial"/>
        <family val="2"/>
      </rPr>
      <t>(y compris les financements spéciaux)</t>
    </r>
  </si>
  <si>
    <r>
      <t xml:space="preserve">Endettement net </t>
    </r>
    <r>
      <rPr>
        <sz val="9"/>
        <rFont val="Arial"/>
        <family val="2"/>
      </rPr>
      <t>(y compris les financements spéciaux)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</si>
</sst>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876</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848</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848</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825</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848</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884</v>
      </c>
      <c r="C21" s="1">
        <f>C10</f>
        <v>615</v>
      </c>
      <c r="F21" s="65"/>
      <c r="O21" s="65"/>
    </row>
    <row r="22" spans="2:21" x14ac:dyDescent="0.2">
      <c r="B22" s="8" t="s">
        <v>72</v>
      </c>
      <c r="C22" s="1">
        <f>F18</f>
        <v>4607</v>
      </c>
      <c r="O22" s="68"/>
    </row>
    <row r="23" spans="2:21" ht="15" x14ac:dyDescent="0.25">
      <c r="B23" s="8" t="s">
        <v>885</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849</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847</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824</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831</v>
      </c>
      <c r="C3" s="30" t="s">
        <v>832</v>
      </c>
      <c r="D3" s="30" t="s">
        <v>194</v>
      </c>
      <c r="E3" s="30" t="s">
        <v>835</v>
      </c>
      <c r="F3" s="30" t="s">
        <v>830</v>
      </c>
      <c r="G3" s="30" t="s">
        <v>833</v>
      </c>
    </row>
    <row r="4" spans="1:7" ht="15" x14ac:dyDescent="0.25">
      <c r="A4" s="7"/>
      <c r="B4" s="29" t="s">
        <v>827</v>
      </c>
      <c r="C4" s="29" t="s">
        <v>828</v>
      </c>
      <c r="D4" s="29" t="s">
        <v>738</v>
      </c>
      <c r="E4" s="29" t="s">
        <v>739</v>
      </c>
      <c r="F4" s="29" t="s">
        <v>829</v>
      </c>
      <c r="G4" s="29" t="s">
        <v>834</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848</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849</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849</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850</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851</v>
      </c>
    </row>
    <row r="4" spans="1:3" ht="15" x14ac:dyDescent="0.25">
      <c r="A4" s="7" t="s">
        <v>195</v>
      </c>
    </row>
    <row r="6" spans="1:3" ht="15" x14ac:dyDescent="0.25">
      <c r="A6" s="96" t="s">
        <v>212</v>
      </c>
      <c r="B6" s="96" t="s">
        <v>197</v>
      </c>
      <c r="C6" s="96" t="s">
        <v>852</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852</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852</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852</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853</v>
      </c>
    </row>
    <row r="5" spans="1:3" ht="15" thickBot="1" x14ac:dyDescent="0.25">
      <c r="B5" s="202" t="s">
        <v>581</v>
      </c>
    </row>
    <row r="6" spans="1:3" ht="15.75" thickBot="1" x14ac:dyDescent="0.3">
      <c r="B6" s="92" t="s">
        <v>23</v>
      </c>
    </row>
    <row r="9" spans="1:3" ht="15" x14ac:dyDescent="0.25">
      <c r="A9" s="96" t="s">
        <v>212</v>
      </c>
      <c r="B9" s="96" t="s">
        <v>197</v>
      </c>
      <c r="C9" s="96" t="s">
        <v>852</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854</v>
      </c>
    </row>
    <row r="5" spans="1:3" ht="15" x14ac:dyDescent="0.25">
      <c r="A5" s="7" t="s">
        <v>195</v>
      </c>
    </row>
    <row r="6" spans="1:3" ht="15" x14ac:dyDescent="0.25">
      <c r="A6" s="7" t="s">
        <v>855</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855</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855</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855</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854</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856</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856</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856</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856</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857</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858</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848</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826</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859</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826</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860</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826</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868</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868</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861</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848</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878</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879</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862</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869</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863</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848</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9"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848</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836</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844</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839</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840</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841</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842</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843</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845</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839</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840</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841</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842</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843</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846</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848</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837</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886</v>
      </c>
      <c r="C59" s="209"/>
      <c r="D59" s="209"/>
      <c r="E59" s="209"/>
      <c r="R59" s="209" t="s">
        <v>838</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848</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837</v>
      </c>
      <c r="D118" s="209">
        <f>D62+D66+D69+D72+D75+D78+D92+D96+D100+D105+D108+D111+D114+D115</f>
        <v>17515798.18</v>
      </c>
    </row>
    <row r="119" spans="1:7" x14ac:dyDescent="0.25">
      <c r="A119" s="209" t="s">
        <v>838</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887</v>
      </c>
      <c r="B123" s="209">
        <f>D70+D78+D92</f>
        <v>84798.800000000047</v>
      </c>
    </row>
    <row r="124" spans="1:7" x14ac:dyDescent="0.25">
      <c r="A124" t="s">
        <v>888</v>
      </c>
      <c r="B124" s="209">
        <f>D75+D100+D111</f>
        <v>730958.11999999825</v>
      </c>
    </row>
    <row r="125" spans="1:7" x14ac:dyDescent="0.25">
      <c r="A125" t="s">
        <v>889</v>
      </c>
      <c r="B125" s="209">
        <f>D62+D72+D96+D108+D115</f>
        <v>3789166.0400000028</v>
      </c>
    </row>
    <row r="126" spans="1:7" x14ac:dyDescent="0.25">
      <c r="A126" t="s">
        <v>890</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864</v>
      </c>
      <c r="B2" s="7"/>
    </row>
    <row r="3" spans="1:3" ht="15" customHeight="1" x14ac:dyDescent="0.4">
      <c r="A3" s="6"/>
      <c r="B3" s="7"/>
    </row>
    <row r="4" spans="1:3" ht="15" customHeight="1" thickBot="1" x14ac:dyDescent="0.3">
      <c r="A4" s="7"/>
      <c r="B4" s="86" t="s">
        <v>581</v>
      </c>
    </row>
    <row r="5" spans="1:3" ht="15" customHeight="1" thickBot="1" x14ac:dyDescent="0.45">
      <c r="A5" s="6"/>
      <c r="B5" s="139" t="s">
        <v>55</v>
      </c>
    </row>
    <row r="6" spans="1:3" ht="15" customHeight="1" x14ac:dyDescent="0.25">
      <c r="C6" s="30"/>
    </row>
    <row r="7" spans="1:3" ht="15" customHeight="1" x14ac:dyDescent="0.25">
      <c r="C7" s="140" t="s">
        <v>198</v>
      </c>
    </row>
    <row r="8" spans="1:3" x14ac:dyDescent="0.2">
      <c r="A8" s="8">
        <v>10</v>
      </c>
      <c r="B8" s="8" t="s">
        <v>236</v>
      </c>
      <c r="C8" s="13">
        <f>HLOOKUP($B$5,'5.4 Tableau de l''endettement'!$C$7:$BA$25,2,0)</f>
        <v>6225791.5600000005</v>
      </c>
    </row>
    <row r="9" spans="1:3" x14ac:dyDescent="0.2">
      <c r="C9" s="13"/>
    </row>
    <row r="10" spans="1:3" x14ac:dyDescent="0.2">
      <c r="A10" s="8">
        <v>20</v>
      </c>
      <c r="B10" s="8" t="s">
        <v>248</v>
      </c>
      <c r="C10" s="13">
        <f>HLOOKUP($B$5,'5.4 Tableau de l''endettement'!$C$7:$BA$25,4,0)</f>
        <v>11516210.049999999</v>
      </c>
    </row>
    <row r="11" spans="1:3" x14ac:dyDescent="0.2">
      <c r="C11" s="13"/>
    </row>
    <row r="12" spans="1:3" x14ac:dyDescent="0.2">
      <c r="A12" s="8">
        <v>200</v>
      </c>
      <c r="B12" s="8" t="s">
        <v>445</v>
      </c>
      <c r="C12" s="13">
        <f>HLOOKUP($B$5,'5.4 Tableau de l''endettement'!$C$7:$BA$25,6,0)</f>
        <v>388186.60000000003</v>
      </c>
    </row>
    <row r="13" spans="1:3" x14ac:dyDescent="0.2">
      <c r="C13" s="13"/>
    </row>
    <row r="14" spans="1:3" x14ac:dyDescent="0.2">
      <c r="A14" s="8">
        <v>201</v>
      </c>
      <c r="B14" s="8" t="s">
        <v>250</v>
      </c>
      <c r="C14" s="13">
        <f>HLOOKUP($B$5,'5.4 Tableau de l''endettement'!$C$7:$BA$25,8,0)</f>
        <v>3247562.34</v>
      </c>
    </row>
    <row r="15" spans="1:3" x14ac:dyDescent="0.2">
      <c r="C15" s="13"/>
    </row>
    <row r="16" spans="1:3" x14ac:dyDescent="0.2">
      <c r="A16" s="8">
        <v>206</v>
      </c>
      <c r="B16" s="8" t="s">
        <v>253</v>
      </c>
      <c r="C16" s="13">
        <f>HLOOKUP($B$5,'5.4 Tableau de l''endettement'!$C$7:$BA$25,10,0)</f>
        <v>7510551.21</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11146300.15</v>
      </c>
    </row>
    <row r="22" spans="1:3" ht="15" x14ac:dyDescent="0.25">
      <c r="B22" s="85" t="s">
        <v>443</v>
      </c>
      <c r="C22" s="107">
        <f>HLOOKUP($B$5,'5.4 Tableau de l''endettement'!$C$7:$BA$25,16,0)</f>
        <v>11598.647398543184</v>
      </c>
    </row>
    <row r="23" spans="1:3" ht="15" x14ac:dyDescent="0.25">
      <c r="B23" s="7"/>
      <c r="C23" s="13"/>
    </row>
    <row r="24" spans="1:3" ht="15" x14ac:dyDescent="0.25">
      <c r="B24" s="136" t="s">
        <v>624</v>
      </c>
      <c r="C24" s="138">
        <f>HLOOKUP($B$5,'5.4 Tableau de l''endettement'!$C$7:$BA$25,18,0)</f>
        <v>5290418.4899999984</v>
      </c>
    </row>
    <row r="25" spans="1:3" ht="15" x14ac:dyDescent="0.25">
      <c r="B25" s="85" t="s">
        <v>443</v>
      </c>
      <c r="C25" s="107">
        <f>HLOOKUP($B$5,'5.4 Tableau de l''endettement'!$C$7:$BA$25,19,0)</f>
        <v>5505.1180957336092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865</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866</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867</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823</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824</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883</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848</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848</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848</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abSelected="1" topLeftCell="A4" zoomScale="115" zoomScaleNormal="115" workbookViewId="0">
      <selection activeCell="A13" sqref="A1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877</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55</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891</v>
      </c>
      <c r="D12" s="184">
        <f>HLOOKUP($B$5,Récapitulatif!E8:BC41,6,0)</f>
        <v>11146300.15</v>
      </c>
      <c r="E12" s="7"/>
      <c r="H12" s="185"/>
    </row>
    <row r="13" spans="1:8" ht="15.75" thickBot="1" x14ac:dyDescent="0.3">
      <c r="A13" s="8" t="s">
        <v>443</v>
      </c>
      <c r="D13" s="184">
        <f>D12/HLOOKUP(B5,Récapitulatif!E8:BC9,2,0)</f>
        <v>11598.647398543184</v>
      </c>
      <c r="E13" s="7"/>
      <c r="H13" s="185"/>
    </row>
    <row r="14" spans="1:8" ht="15.75" thickBot="1" x14ac:dyDescent="0.3">
      <c r="D14" s="13"/>
      <c r="H14" s="185"/>
    </row>
    <row r="15" spans="1:8" ht="15.75" thickBot="1" x14ac:dyDescent="0.3">
      <c r="A15" s="188" t="s">
        <v>892</v>
      </c>
      <c r="D15" s="184">
        <f>HLOOKUP($B$5,Récapitulatif!E8:BC41,8,0)</f>
        <v>5290418.4899999984</v>
      </c>
      <c r="H15" s="185"/>
    </row>
    <row r="16" spans="1:8" ht="15.75" thickBot="1" x14ac:dyDescent="0.3">
      <c r="A16" s="8" t="s">
        <v>443</v>
      </c>
      <c r="D16" s="184">
        <f>D15/HLOOKUP(B5,Récapitulatif!E8:BC9,2,0)</f>
        <v>5505.1180957336092</v>
      </c>
      <c r="H16" s="185"/>
    </row>
    <row r="17" spans="1:8" ht="15.75" thickBot="1" x14ac:dyDescent="0.3">
      <c r="D17" s="13"/>
      <c r="H17" s="185"/>
    </row>
    <row r="18" spans="1:8" ht="15.75" thickBot="1" x14ac:dyDescent="0.3">
      <c r="A18" s="8" t="s">
        <v>498</v>
      </c>
      <c r="D18" s="184">
        <f>HLOOKUP($B$5,Récapitulatif!E8:BC41,10,0)</f>
        <v>197.73056050654719</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566192.26000000013</v>
      </c>
      <c r="E22" s="7"/>
      <c r="H22" s="186"/>
    </row>
    <row r="23" spans="1:8" ht="15.75" thickBot="1" x14ac:dyDescent="0.3">
      <c r="D23" s="13"/>
      <c r="H23" s="185"/>
    </row>
    <row r="24" spans="1:8" ht="15.75" thickBot="1" x14ac:dyDescent="0.3">
      <c r="A24" s="8" t="s">
        <v>558</v>
      </c>
      <c r="D24" s="184">
        <f>HLOOKUP($B$5,Récapitulatif!E8:BC41,17,0)</f>
        <v>37.525855382814235</v>
      </c>
      <c r="H24" s="185"/>
    </row>
    <row r="25" spans="1:8" ht="15" thickBot="1" x14ac:dyDescent="0.25">
      <c r="D25" s="13"/>
    </row>
    <row r="26" spans="1:8" ht="15.75" thickBot="1" x14ac:dyDescent="0.3">
      <c r="A26" s="7" t="s">
        <v>559</v>
      </c>
      <c r="D26" s="184">
        <f>HLOOKUP($B$5,Récapitulatif!E8:BC41,20,0)</f>
        <v>2.7617367831588808</v>
      </c>
    </row>
    <row r="27" spans="1:8" ht="15" thickBot="1" x14ac:dyDescent="0.25">
      <c r="D27" s="13"/>
    </row>
    <row r="28" spans="1:8" ht="15.75" thickBot="1" x14ac:dyDescent="0.3">
      <c r="A28" s="7" t="s">
        <v>560</v>
      </c>
      <c r="D28" s="184">
        <f>HLOOKUP($B$5,Récapitulatif!E8:BC41,22,0)</f>
        <v>267.55125516673445</v>
      </c>
    </row>
    <row r="29" spans="1:8" ht="15" thickBot="1" x14ac:dyDescent="0.25">
      <c r="D29" s="13"/>
    </row>
    <row r="30" spans="1:8" ht="15.75" thickBot="1" x14ac:dyDescent="0.3">
      <c r="A30" s="7" t="s">
        <v>519</v>
      </c>
      <c r="D30" s="184">
        <f>HLOOKUP($B$5,Récapitulatif!E8:BC41,24,0)</f>
        <v>33.249915186703397</v>
      </c>
    </row>
    <row r="31" spans="1:8" ht="15" thickBot="1" x14ac:dyDescent="0.25">
      <c r="B31" s="154"/>
      <c r="D31" s="163"/>
    </row>
    <row r="32" spans="1:8" ht="15.75" thickBot="1" x14ac:dyDescent="0.3">
      <c r="A32" s="7" t="s">
        <v>561</v>
      </c>
      <c r="D32" s="184">
        <f>HLOOKUP($B$5,Récapitulatif!E8:BC41,26,0)</f>
        <v>9.47974196703729</v>
      </c>
    </row>
    <row r="33" spans="1:4" ht="15" thickBot="1" x14ac:dyDescent="0.25">
      <c r="D33" s="13"/>
    </row>
    <row r="34" spans="1:4" ht="15.75" thickBot="1" x14ac:dyDescent="0.3">
      <c r="A34" s="7" t="s">
        <v>532</v>
      </c>
      <c r="D34" s="184">
        <f>HLOOKUP($B$5,Récapitulatif!E8:BC41,28,0)</f>
        <v>5505.1180957336092</v>
      </c>
    </row>
    <row r="35" spans="1:4" ht="15.75" thickBot="1" x14ac:dyDescent="0.3">
      <c r="D35" s="185"/>
    </row>
    <row r="36" spans="1:4" ht="15.75" thickBot="1" x14ac:dyDescent="0.3">
      <c r="A36" s="7" t="s">
        <v>536</v>
      </c>
      <c r="D36" s="184">
        <f>HLOOKUP($B$5,Récapitulatif!E8:BC41,30,0)</f>
        <v>13.590648716622805</v>
      </c>
    </row>
    <row r="37" spans="1:4" ht="15.75" thickBot="1" x14ac:dyDescent="0.3">
      <c r="D37" s="185"/>
    </row>
    <row r="38" spans="1:4" ht="15.75" thickBot="1" x14ac:dyDescent="0.3">
      <c r="A38" s="7" t="s">
        <v>540</v>
      </c>
      <c r="D38" s="184">
        <f>HLOOKUP($B$5,Récapitulatif!E8:BC41,32,0)</f>
        <v>3.1455189498692042</v>
      </c>
    </row>
    <row r="39" spans="1:4" ht="15" thickBot="1" x14ac:dyDescent="0.25">
      <c r="D39" s="13"/>
    </row>
    <row r="40" spans="1:4" ht="15.75" thickBot="1" x14ac:dyDescent="0.3">
      <c r="A40" s="7" t="s">
        <v>562</v>
      </c>
      <c r="D40" s="184">
        <f>HLOOKUP($B$5,Récapitulatif!E8:BC41,34,0)</f>
        <v>70.493796486972911</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849</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849</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851</v>
      </c>
    </row>
    <row r="4" spans="1:3" ht="15" x14ac:dyDescent="0.25">
      <c r="A4" s="7" t="s">
        <v>734</v>
      </c>
    </row>
    <row r="6" spans="1:3" ht="15" x14ac:dyDescent="0.25">
      <c r="A6" s="96" t="s">
        <v>212</v>
      </c>
      <c r="B6" s="96" t="s">
        <v>197</v>
      </c>
      <c r="C6" s="96" t="s">
        <v>852</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870</v>
      </c>
    </row>
    <row r="5" spans="1:3" ht="15" thickBot="1" x14ac:dyDescent="0.25">
      <c r="B5" s="202" t="s">
        <v>736</v>
      </c>
    </row>
    <row r="6" spans="1:3" ht="15.75" thickBot="1" x14ac:dyDescent="0.3">
      <c r="B6" s="92" t="s">
        <v>56</v>
      </c>
    </row>
    <row r="9" spans="1:3" ht="15" x14ac:dyDescent="0.25">
      <c r="A9" s="96" t="s">
        <v>212</v>
      </c>
      <c r="B9" s="96" t="s">
        <v>197</v>
      </c>
      <c r="C9" s="96" t="s">
        <v>852</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854</v>
      </c>
    </row>
    <row r="5" spans="1:3" ht="15" x14ac:dyDescent="0.25">
      <c r="A5" s="7" t="s">
        <v>734</v>
      </c>
    </row>
    <row r="6" spans="1:3" ht="15" x14ac:dyDescent="0.25">
      <c r="A6" s="7" t="s">
        <v>855</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854</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856</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861</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880</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881</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871</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863</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872</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865</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882</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849</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849</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851</v>
      </c>
    </row>
    <row r="4" spans="1:3" ht="15" x14ac:dyDescent="0.25">
      <c r="A4" s="7" t="s">
        <v>804</v>
      </c>
    </row>
    <row r="6" spans="1:3" ht="15" x14ac:dyDescent="0.25">
      <c r="A6" s="96" t="s">
        <v>212</v>
      </c>
      <c r="B6" s="96" t="s">
        <v>197</v>
      </c>
      <c r="C6" s="96" t="s">
        <v>822</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873</v>
      </c>
    </row>
    <row r="5" spans="1:3" ht="15" thickBot="1" x14ac:dyDescent="0.25">
      <c r="B5" s="8" t="s">
        <v>805</v>
      </c>
    </row>
    <row r="6" spans="1:3" ht="15.75" thickBot="1" x14ac:dyDescent="0.3">
      <c r="B6" s="92" t="s">
        <v>792</v>
      </c>
    </row>
    <row r="9" spans="1:3" ht="15" x14ac:dyDescent="0.25">
      <c r="A9" s="96" t="s">
        <v>212</v>
      </c>
      <c r="B9" s="96" t="s">
        <v>197</v>
      </c>
      <c r="C9" s="96" t="s">
        <v>852</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854</v>
      </c>
    </row>
    <row r="5" spans="1:3" ht="15" x14ac:dyDescent="0.25">
      <c r="A5" s="7" t="s">
        <v>804</v>
      </c>
    </row>
    <row r="6" spans="1:3" ht="15" x14ac:dyDescent="0.25">
      <c r="A6" s="7" t="s">
        <v>855</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854</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861</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874</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863</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875</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2024-10-21T06:20:13Z</dcterms:modified>
</cp:coreProperties>
</file>