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3" activeTab="3"/>
  </bookViews>
  <sheets>
    <sheet name="Sommaire" sheetId="47" state="hidden" r:id="rId1"/>
    <sheet name="Base de données pop." sheetId="13" state="hidden" r:id="rId2"/>
    <sheet name="Population" sheetId="1" state="hidden" r:id="rId3"/>
    <sheet name="4.1 Comptes 2023 natures" sheetId="23"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1" i="29" l="1"/>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F165" i="29" s="1"/>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J10" i="39" s="1"/>
  <c r="AH15" i="35"/>
  <c r="AH10" i="39" s="1"/>
  <c r="AF15" i="35"/>
  <c r="AF10" i="39" s="1"/>
  <c r="AD15" i="35"/>
  <c r="AD10" i="39" s="1"/>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Y10" i="39"/>
  <c r="Q10" i="39"/>
  <c r="I10" i="39"/>
  <c r="AT10" i="39"/>
  <c r="AP10" i="39"/>
  <c r="BF10" i="35"/>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D40" i="43" l="1"/>
  <c r="AT15" i="42"/>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D18" i="43" l="1"/>
  <c r="BD15" i="40"/>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AY22" i="40"/>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AW41" i="35" s="1"/>
  <c r="AW24" i="40" s="1"/>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D30" i="43" l="1"/>
  <c r="E57" i="79"/>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D24" i="43" s="1"/>
  <c r="AT22" i="40"/>
  <c r="D22" i="43" s="1"/>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<sst xmlns="http://schemas.openxmlformats.org/spreadsheetml/2006/main" count="5620" uniqueCount="888">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</sst>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24</xdr:col>
      <xdr:colOff>761999</xdr:colOff>
      <xdr:row>24</xdr:row>
      <xdr:rowOff>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25</xdr:col>
      <xdr:colOff>9524</xdr:colOff>
      <xdr:row>46</xdr:row>
      <xdr:rowOff>9524</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212"/>
  <sheetViews>
    <sheetView tabSelected="1" zoomScale="115" zoomScaleNormal="115" workbookViewId="0">
      <pane xSplit="4" ySplit="4" topLeftCell="BA5" activePane="bottomRight" state="frozen"/>
      <selection pane="topRight" activeCell="E1" sqref="E1"/>
      <selection pane="bottomLeft" activeCell="A4" sqref="A4"/>
      <selection pane="bottomRight" activeCell="D2" sqref="D2"/>
    </sheetView>
  </sheetViews>
  <sheetFormatPr baseColWidth="10" defaultRowHeight="14.25" x14ac:dyDescent="0.2"/>
  <cols>
    <col min="1" max="2" width="5.7109375" style="8" customWidth="1"/>
    <col min="3" max="3" width="9" style="8" customWidth="1"/>
    <col min="4" max="4" width="66" style="8" customWidth="1"/>
    <col min="5" max="55" width="16.28515625" style="8" hidden="1" customWidth="1"/>
    <col min="56"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hidden="1"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hidden="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hidden="1"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hidden="1"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2" spans="1:59" hidden="1" x14ac:dyDescent="0.2"/>
    <row r="163" spans="1:59" ht="15" hidden="1" x14ac:dyDescent="0.25">
      <c r="D163" s="85" t="s">
        <v>447</v>
      </c>
    </row>
    <row r="164" spans="1:59" hidden="1"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hidden="1"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hidden="1"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hidden="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hidden="1"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hidden="1" x14ac:dyDescent="0.2">
      <c r="M169" s="13"/>
    </row>
    <row r="170" spans="1:59" hidden="1"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1" spans="1:59" hidden="1" x14ac:dyDescent="0.2"/>
    <row r="172" spans="1:59" hidden="1"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hidden="1"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4" spans="1:59" hidden="1" x14ac:dyDescent="0.2"/>
    <row r="175" spans="1:59" hidden="1" x14ac:dyDescent="0.2">
      <c r="L175" s="13"/>
    </row>
    <row r="176" spans="1:59" hidden="1" x14ac:dyDescent="0.2"/>
    <row r="177" spans="1:59" hidden="1" x14ac:dyDescent="0.2"/>
    <row r="178" spans="1:59" ht="15" hidden="1" x14ac:dyDescent="0.25">
      <c r="D178" s="85" t="s">
        <v>447</v>
      </c>
    </row>
    <row r="179" spans="1:59" hidden="1"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hidden="1"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hidden="1"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hidden="1"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hidden="1"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hidden="1"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hidden="1"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hidden="1"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hidden="1"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hidden="1"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hidden="1"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hidden="1"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hidden="1"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hidden="1"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row r="193" hidden="1" x14ac:dyDescent="0.2"/>
    <row r="194" hidden="1" x14ac:dyDescent="0.2"/>
    <row r="195" hidden="1" x14ac:dyDescent="0.2"/>
    <row r="196" hidden="1" x14ac:dyDescent="0.2"/>
    <row r="197" hidden="1" x14ac:dyDescent="0.2"/>
    <row r="198" hidden="1" x14ac:dyDescent="0.2"/>
    <row r="199" hidden="1" x14ac:dyDescent="0.2"/>
    <row r="200" hidden="1" x14ac:dyDescent="0.2"/>
    <row r="201" hidden="1" x14ac:dyDescent="0.2"/>
    <row r="202" hidden="1" x14ac:dyDescent="0.2"/>
    <row r="203" hidden="1" x14ac:dyDescent="0.2"/>
    <row r="204" hidden="1" x14ac:dyDescent="0.2"/>
    <row r="205" hidden="1" x14ac:dyDescent="0.2"/>
    <row r="206" hidden="1" x14ac:dyDescent="0.2"/>
    <row r="207" hidden="1" x14ac:dyDescent="0.2"/>
    <row r="208" hidden="1" x14ac:dyDescent="0.2"/>
    <row r="209" hidden="1" x14ac:dyDescent="0.2"/>
    <row r="210" hidden="1" x14ac:dyDescent="0.2"/>
    <row r="211" hidden="1" x14ac:dyDescent="0.2"/>
    <row r="212" hidden="1" x14ac:dyDescent="0.2"/>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A3" sqref="A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A3" sqref="A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A3" sqref="A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3" sqref="A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thickBot="1" x14ac:dyDescent="0.25">
      <c r="A7" s="161"/>
      <c r="B7" s="162"/>
      <c r="C7" s="161"/>
      <c r="D7" s="163"/>
      <c r="BD7" s="13"/>
      <c r="BE7" s="13"/>
      <c r="BF7" s="13"/>
      <c r="BI7" s="13"/>
    </row>
    <row r="8" spans="1:61"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A3" sqref="A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A3" sqref="A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27</v>
      </c>
    </row>
    <row r="8" spans="1:6" ht="20.25" x14ac:dyDescent="0.3">
      <c r="A8" s="114">
        <v>1</v>
      </c>
      <c r="B8" s="114"/>
      <c r="C8" s="114"/>
      <c r="D8" s="114"/>
      <c r="E8" s="114" t="s">
        <v>235</v>
      </c>
      <c r="F8" s="128">
        <f>HLOOKUP($E$5,'Bourgeoisie bilan'!$F$4:$S$229,2,0)</f>
        <v>34691699.149999999</v>
      </c>
    </row>
    <row r="9" spans="1:6" ht="15" x14ac:dyDescent="0.25">
      <c r="A9" s="16"/>
      <c r="B9" s="116">
        <v>10</v>
      </c>
      <c r="C9" s="116"/>
      <c r="D9" s="116"/>
      <c r="E9" s="116" t="s">
        <v>236</v>
      </c>
      <c r="F9" s="117">
        <f>HLOOKUP($E$5,'Bourgeoisie bilan'!$F$4:$S$229,2,0)</f>
        <v>34691699.149999999</v>
      </c>
    </row>
    <row r="10" spans="1:6" ht="15" x14ac:dyDescent="0.25">
      <c r="A10" s="17"/>
      <c r="B10" s="17"/>
      <c r="C10" s="85">
        <v>100</v>
      </c>
      <c r="D10" s="85"/>
      <c r="E10" s="85" t="s">
        <v>237</v>
      </c>
      <c r="F10" s="107">
        <f>HLOOKUP($E$5,'Bourgeoisie bilan'!$F$4:$S$229,2,0)</f>
        <v>34691699.149999999</v>
      </c>
    </row>
    <row r="11" spans="1:6" x14ac:dyDescent="0.2">
      <c r="D11" s="8">
        <v>1000</v>
      </c>
      <c r="E11" s="8" t="s">
        <v>307</v>
      </c>
      <c r="F11" s="13">
        <f>HLOOKUP($E$5,'Bourgeoisie bilan'!$F$4:$S$229,5,0)</f>
        <v>2080.6999999999998</v>
      </c>
    </row>
    <row r="12" spans="1:6" x14ac:dyDescent="0.2">
      <c r="D12" s="8">
        <v>1001</v>
      </c>
      <c r="E12" s="8" t="s">
        <v>308</v>
      </c>
      <c r="F12" s="13">
        <f>HLOOKUP($E$5,'Bourgeoisie bilan'!$F$4:$S$229,6,0)</f>
        <v>9679.7900000000009</v>
      </c>
    </row>
    <row r="13" spans="1:6" x14ac:dyDescent="0.2">
      <c r="D13" s="8">
        <v>1002</v>
      </c>
      <c r="E13" s="8" t="s">
        <v>316</v>
      </c>
      <c r="F13" s="13">
        <f>HLOOKUP($E$5,'Bourgeoisie bilan'!$F$4:$S$229,7,0)</f>
        <v>972497.31</v>
      </c>
    </row>
    <row r="14" spans="1:6" x14ac:dyDescent="0.2">
      <c r="D14" s="8">
        <v>1003</v>
      </c>
      <c r="E14" s="8" t="s">
        <v>309</v>
      </c>
      <c r="F14" s="13">
        <f>HLOOKUP($E$5,'Bourgeoisie bilan'!$F$4:$S$229,8,0)</f>
        <v>0</v>
      </c>
    </row>
    <row r="15" spans="1:6" x14ac:dyDescent="0.2">
      <c r="D15" s="8">
        <v>1004</v>
      </c>
      <c r="E15" s="8" t="s">
        <v>310</v>
      </c>
      <c r="F15" s="13">
        <f>HLOOKUP($E$5,'Bourgeoisie bilan'!$F$4:$S$229,9,0)</f>
        <v>0</v>
      </c>
    </row>
    <row r="16" spans="1:6" x14ac:dyDescent="0.2">
      <c r="D16" s="8">
        <v>1009</v>
      </c>
      <c r="E16" s="8" t="s">
        <v>311</v>
      </c>
      <c r="F16" s="13">
        <f>HLOOKUP($E$5,'Bourgeoisie bilan'!$F$4:$S$229,10,0)</f>
        <v>0</v>
      </c>
    </row>
    <row r="17" spans="1:6" x14ac:dyDescent="0.2">
      <c r="F17" s="13"/>
    </row>
    <row r="18" spans="1:6" ht="15" x14ac:dyDescent="0.25">
      <c r="A18" s="17"/>
      <c r="B18" s="17"/>
      <c r="C18" s="85">
        <v>101</v>
      </c>
      <c r="D18" s="85"/>
      <c r="E18" s="85" t="s">
        <v>238</v>
      </c>
      <c r="F18" s="107">
        <f>HLOOKUP($E$5,'Bourgeoisie bilan'!$F$4:$S$229,12,0)</f>
        <v>4230440.25</v>
      </c>
    </row>
    <row r="19" spans="1:6" x14ac:dyDescent="0.2">
      <c r="D19" s="8">
        <v>1010</v>
      </c>
      <c r="E19" s="8" t="s">
        <v>312</v>
      </c>
      <c r="F19" s="13">
        <f>HLOOKUP($E$5,'Bourgeoisie bilan'!$F$4:$S$229,13,0)</f>
        <v>-9722.75</v>
      </c>
    </row>
    <row r="20" spans="1:6" x14ac:dyDescent="0.2">
      <c r="D20" s="8">
        <v>1011</v>
      </c>
      <c r="E20" s="8" t="s">
        <v>393</v>
      </c>
      <c r="F20" s="13">
        <f>HLOOKUP($E$5,'Bourgeoisie bilan'!$F$4:$S$229,14,0)</f>
        <v>4240163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0</v>
      </c>
    </row>
    <row r="27" spans="1:6" x14ac:dyDescent="0.2">
      <c r="F27" s="13"/>
    </row>
    <row r="28" spans="1:6" ht="15" x14ac:dyDescent="0.25">
      <c r="C28" s="85">
        <v>102</v>
      </c>
      <c r="D28" s="85"/>
      <c r="E28" s="85" t="s">
        <v>239</v>
      </c>
      <c r="F28" s="107">
        <f>HLOOKUP($E$5,'Bourgeoisie bilan'!$F$4:$S$229,22,0)</f>
        <v>0</v>
      </c>
    </row>
    <row r="29" spans="1:6" x14ac:dyDescent="0.2">
      <c r="D29" s="8">
        <v>1020</v>
      </c>
      <c r="E29" s="8" t="s">
        <v>320</v>
      </c>
      <c r="F29" s="13">
        <f>HLOOKUP($E$5,'Bourgeoisie bilan'!$F$4:$S$229,23,0)</f>
        <v>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41194.050000000003</v>
      </c>
    </row>
    <row r="35" spans="3:6" x14ac:dyDescent="0.2">
      <c r="D35" s="8">
        <v>1040</v>
      </c>
      <c r="E35" s="8" t="s">
        <v>60</v>
      </c>
      <c r="F35" s="13">
        <f>HLOOKUP($E$5,'Bourgeoisie bilan'!$F$4:$S$229,29,0)</f>
        <v>0</v>
      </c>
    </row>
    <row r="36" spans="3:6" x14ac:dyDescent="0.2">
      <c r="D36" s="8">
        <v>1041</v>
      </c>
      <c r="E36" s="8" t="s">
        <v>324</v>
      </c>
      <c r="F36" s="13">
        <f>HLOOKUP($E$5,'Bourgeoisie bilan'!$F$4:$S$229,30,0)</f>
        <v>37301.300000000003</v>
      </c>
    </row>
    <row r="37" spans="3:6" x14ac:dyDescent="0.2">
      <c r="D37" s="8">
        <v>1042</v>
      </c>
      <c r="E37" s="8" t="s">
        <v>325</v>
      </c>
      <c r="F37" s="13">
        <f>HLOOKUP($E$5,'Bourgeoisie bilan'!$F$4:$S$229,31,0)</f>
        <v>0</v>
      </c>
    </row>
    <row r="38" spans="3:6" x14ac:dyDescent="0.2">
      <c r="D38" s="8">
        <v>1043</v>
      </c>
      <c r="E38" s="8" t="s">
        <v>326</v>
      </c>
      <c r="F38" s="13">
        <f>HLOOKUP($E$5,'Bourgeoisie bilan'!$F$4:$S$229,32,0)</f>
        <v>0</v>
      </c>
    </row>
    <row r="39" spans="3:6" x14ac:dyDescent="0.2">
      <c r="D39" s="8">
        <v>1044</v>
      </c>
      <c r="E39" s="8" t="s">
        <v>327</v>
      </c>
      <c r="F39" s="13">
        <f>HLOOKUP($E$5,'Bourgeoisie bilan'!$F$4:$S$229,33,0)</f>
        <v>0</v>
      </c>
    </row>
    <row r="40" spans="3:6" x14ac:dyDescent="0.2">
      <c r="D40" s="8">
        <v>1045</v>
      </c>
      <c r="E40" s="8" t="s">
        <v>328</v>
      </c>
      <c r="F40" s="13">
        <f>HLOOKUP($E$5,'Bourgeoisie bilan'!$F$4:$S$229,34,0)</f>
        <v>0</v>
      </c>
    </row>
    <row r="41" spans="3:6" x14ac:dyDescent="0.2">
      <c r="D41" s="8">
        <v>1046</v>
      </c>
      <c r="E41" s="8" t="s">
        <v>329</v>
      </c>
      <c r="F41" s="13">
        <f>HLOOKUP($E$5,'Bourgeoisie bilan'!$F$4:$S$229,35,0)</f>
        <v>0</v>
      </c>
    </row>
    <row r="42" spans="3:6" x14ac:dyDescent="0.2">
      <c r="D42" s="8">
        <v>1049</v>
      </c>
      <c r="E42" s="8" t="s">
        <v>330</v>
      </c>
      <c r="F42" s="13">
        <f>HLOOKUP($E$5,'Bourgeoisie bilan'!$F$4:$S$229,36,0)</f>
        <v>3892.75</v>
      </c>
    </row>
    <row r="43" spans="3:6" x14ac:dyDescent="0.2">
      <c r="F43" s="13"/>
    </row>
    <row r="44" spans="3:6" ht="15" x14ac:dyDescent="0.25">
      <c r="C44" s="85">
        <v>106</v>
      </c>
      <c r="D44" s="85"/>
      <c r="E44" s="85" t="s">
        <v>241</v>
      </c>
      <c r="F44" s="107">
        <f>HLOOKUP($E$5,'Bourgeoisie bilan'!$F$4:$S$229,38,0)</f>
        <v>0</v>
      </c>
    </row>
    <row r="45" spans="3:6" x14ac:dyDescent="0.2">
      <c r="D45" s="8">
        <v>1060</v>
      </c>
      <c r="E45" s="8" t="s">
        <v>331</v>
      </c>
      <c r="F45" s="13">
        <f>HLOOKUP($E$5,'Bourgeoisie bilan'!$F$4:$S$229,39,0)</f>
        <v>0</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5400</v>
      </c>
    </row>
    <row r="52" spans="3:6" x14ac:dyDescent="0.2">
      <c r="D52" s="8">
        <v>1070</v>
      </c>
      <c r="E52" s="8" t="s">
        <v>336</v>
      </c>
      <c r="F52" s="13">
        <f>HLOOKUP($E$5,'Bourgeoisie bilan'!$F$4:$S$229,46,0)</f>
        <v>5400</v>
      </c>
    </row>
    <row r="53" spans="3:6" x14ac:dyDescent="0.2">
      <c r="D53" s="8">
        <v>1071</v>
      </c>
      <c r="E53" s="8" t="s">
        <v>337</v>
      </c>
      <c r="F53" s="13">
        <f>HLOOKUP($E$5,'Bourgeoisie bilan'!$F$4:$S$229,47,0)</f>
        <v>0</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26926350</v>
      </c>
    </row>
    <row r="58" spans="3:6" x14ac:dyDescent="0.2">
      <c r="D58" s="8">
        <v>1080</v>
      </c>
      <c r="E58" s="8" t="s">
        <v>341</v>
      </c>
      <c r="F58" s="13">
        <f>HLOOKUP($E$5,'Bourgeoisie bilan'!$F$4:$S$229,52,0)</f>
        <v>21626550</v>
      </c>
    </row>
    <row r="59" spans="3:6" x14ac:dyDescent="0.2">
      <c r="D59" s="8">
        <v>1084</v>
      </c>
      <c r="E59" s="8" t="s">
        <v>342</v>
      </c>
      <c r="F59" s="13">
        <f>HLOOKUP($E$5,'Bourgeoisie bilan'!$F$4:$S$229,53,0)</f>
        <v>5299800</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0</v>
      </c>
    </row>
    <row r="63" spans="3:6" x14ac:dyDescent="0.2">
      <c r="D63" s="8">
        <v>1089</v>
      </c>
      <c r="E63" s="8" t="s">
        <v>346</v>
      </c>
      <c r="F63" s="13">
        <f>HLOOKUP($E$5,'Bourgeoisie bilan'!$F$4:$S$229,57,0)</f>
        <v>0</v>
      </c>
    </row>
    <row r="64" spans="3:6" x14ac:dyDescent="0.2">
      <c r="F64" s="13"/>
    </row>
    <row r="65" spans="2:6" ht="15" x14ac:dyDescent="0.25">
      <c r="C65" s="85">
        <v>109</v>
      </c>
      <c r="D65" s="85"/>
      <c r="E65" s="85" t="s">
        <v>347</v>
      </c>
      <c r="F65" s="107">
        <f>HLOOKUP($E$5,'Bourgeoisie bilan'!$F$4:$S$229,59,0)</f>
        <v>0</v>
      </c>
    </row>
    <row r="66" spans="2:6" x14ac:dyDescent="0.2">
      <c r="D66" s="8">
        <v>1090</v>
      </c>
      <c r="E66" s="8" t="s">
        <v>347</v>
      </c>
      <c r="F66" s="13">
        <f>HLOOKUP($E$5,'Bourgeoisie bilan'!$F$4:$S$229,60,0)</f>
        <v>0</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2504057.0499999998</v>
      </c>
    </row>
    <row r="72" spans="2:6" ht="15" x14ac:dyDescent="0.25">
      <c r="C72" s="85">
        <v>140</v>
      </c>
      <c r="D72" s="85"/>
      <c r="E72" s="85" t="s">
        <v>245</v>
      </c>
      <c r="F72" s="107">
        <f>HLOOKUP($E$5,'Bourgeoisie bilan'!$F$4:$S$229,66,0)</f>
        <v>2444054.0499999998</v>
      </c>
    </row>
    <row r="73" spans="2:6" x14ac:dyDescent="0.2">
      <c r="D73" s="8">
        <v>1400</v>
      </c>
      <c r="E73" s="8" t="s">
        <v>351</v>
      </c>
      <c r="F73" s="13">
        <f>HLOOKUP($E$5,'Bourgeoisie bilan'!$F$4:$S$229,67,0)</f>
        <v>764001</v>
      </c>
    </row>
    <row r="74" spans="2:6" x14ac:dyDescent="0.2">
      <c r="D74" s="8">
        <v>1401</v>
      </c>
      <c r="E74" s="8" t="s">
        <v>352</v>
      </c>
      <c r="F74" s="13">
        <f>HLOOKUP($E$5,'Bourgeoisie bilan'!$F$4:$S$229,68,0)</f>
        <v>1</v>
      </c>
    </row>
    <row r="75" spans="2:6" x14ac:dyDescent="0.2">
      <c r="D75" s="8">
        <v>1402</v>
      </c>
      <c r="E75" s="8" t="s">
        <v>353</v>
      </c>
      <c r="F75" s="13">
        <f>HLOOKUP($E$5,'Bourgeoisie bilan'!$F$4:$S$229,69,0)</f>
        <v>0</v>
      </c>
    </row>
    <row r="76" spans="2:6" x14ac:dyDescent="0.2">
      <c r="D76" s="8">
        <v>1403</v>
      </c>
      <c r="E76" s="8" t="s">
        <v>354</v>
      </c>
      <c r="F76" s="13">
        <f>HLOOKUP($E$5,'Bourgeoisie bilan'!$F$4:$S$229,70,0)</f>
        <v>0</v>
      </c>
    </row>
    <row r="77" spans="2:6" x14ac:dyDescent="0.2">
      <c r="D77" s="8">
        <v>1404</v>
      </c>
      <c r="E77" s="8" t="s">
        <v>355</v>
      </c>
      <c r="F77" s="13">
        <f>HLOOKUP($E$5,'Bourgeoisie bilan'!$F$4:$S$229,71,0)</f>
        <v>407872.05</v>
      </c>
    </row>
    <row r="78" spans="2:6" x14ac:dyDescent="0.2">
      <c r="D78" s="8">
        <v>1405</v>
      </c>
      <c r="E78" s="8" t="s">
        <v>356</v>
      </c>
      <c r="F78" s="13">
        <f>HLOOKUP($E$5,'Bourgeoisie bilan'!$F$4:$S$229,72,0)</f>
        <v>1272180</v>
      </c>
    </row>
    <row r="79" spans="2:6" x14ac:dyDescent="0.2">
      <c r="D79" s="8">
        <v>1406</v>
      </c>
      <c r="E79" s="8" t="s">
        <v>357</v>
      </c>
      <c r="F79" s="13">
        <f>HLOOKUP($E$5,'Bourgeoisie bilan'!$F$4:$S$229,73,0)</f>
        <v>0</v>
      </c>
    </row>
    <row r="80" spans="2:6" x14ac:dyDescent="0.2">
      <c r="D80" s="8">
        <v>1407</v>
      </c>
      <c r="E80" s="8" t="s">
        <v>358</v>
      </c>
      <c r="F80" s="13">
        <f>HLOOKUP($E$5,'Bourgeoisie bilan'!$F$4:$S$229,74,0)</f>
        <v>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0</v>
      </c>
    </row>
    <row r="90" spans="3:6" x14ac:dyDescent="0.2">
      <c r="D90" s="8">
        <v>1440</v>
      </c>
      <c r="E90" s="8" t="s">
        <v>362</v>
      </c>
      <c r="F90" s="13">
        <f>HLOOKUP($E$5,'Bourgeoisie bilan'!$F$4:$S$229,83,0)</f>
        <v>0</v>
      </c>
    </row>
    <row r="91" spans="3:6" x14ac:dyDescent="0.2">
      <c r="D91" s="8">
        <v>1441</v>
      </c>
      <c r="E91" s="8" t="s">
        <v>364</v>
      </c>
      <c r="F91" s="13">
        <f>HLOOKUP($E$5,'Bourgeoisie bilan'!$F$4:$S$229,85,0)</f>
        <v>0</v>
      </c>
    </row>
    <row r="92" spans="3:6" x14ac:dyDescent="0.2">
      <c r="D92" s="8">
        <v>1442</v>
      </c>
      <c r="E92" s="8" t="s">
        <v>363</v>
      </c>
      <c r="F92" s="13">
        <f>HLOOKUP($E$5,'Bourgeoisie bilan'!$F$4:$S$229,86,0)</f>
        <v>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60003</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0</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34691699.149999999</v>
      </c>
    </row>
    <row r="125" spans="1:6" ht="15" x14ac:dyDescent="0.25">
      <c r="A125" s="7"/>
      <c r="B125" s="121">
        <v>20</v>
      </c>
      <c r="C125" s="121"/>
      <c r="D125" s="121"/>
      <c r="E125" s="121" t="s">
        <v>248</v>
      </c>
      <c r="F125" s="122">
        <f>HLOOKUP($E$5,'Bourgeoisie bilan'!$F$4:$S$229,119,0)</f>
        <v>4461676.2799999993</v>
      </c>
    </row>
    <row r="126" spans="1:6" ht="15" x14ac:dyDescent="0.25">
      <c r="C126" s="123">
        <v>200</v>
      </c>
      <c r="D126" s="123"/>
      <c r="E126" s="123" t="s">
        <v>249</v>
      </c>
      <c r="F126" s="124">
        <f>HLOOKUP($E$5,'Bourgeoisie bilan'!$F$4:$S$229,120,0)</f>
        <v>170438.7</v>
      </c>
    </row>
    <row r="127" spans="1:6" x14ac:dyDescent="0.2">
      <c r="D127" s="8">
        <v>2000</v>
      </c>
      <c r="E127" s="8" t="s">
        <v>392</v>
      </c>
      <c r="F127" s="13">
        <f>HLOOKUP($E$5,'Bourgeoisie bilan'!$F$4:$S$229,121,0)</f>
        <v>165088.70000000001</v>
      </c>
    </row>
    <row r="128" spans="1:6" x14ac:dyDescent="0.2">
      <c r="D128" s="8">
        <v>2001</v>
      </c>
      <c r="E128" s="8" t="s">
        <v>393</v>
      </c>
      <c r="F128" s="13">
        <f>HLOOKUP($E$5,'Bourgeoisie bilan'!$F$4:$S$229,122,0)</f>
        <v>0</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338937.57999999996</v>
      </c>
    </row>
    <row r="147" spans="3:6" x14ac:dyDescent="0.2">
      <c r="D147" s="8">
        <v>2040</v>
      </c>
      <c r="E147" s="8" t="s">
        <v>60</v>
      </c>
      <c r="F147" s="13">
        <f>HLOOKUP($E$5,'Bourgeoisie bilan'!$F$4:$S$229,141,0)</f>
        <v>13378.2</v>
      </c>
    </row>
    <row r="148" spans="3:6" x14ac:dyDescent="0.2">
      <c r="D148" s="8">
        <v>2041</v>
      </c>
      <c r="E148" s="8" t="s">
        <v>273</v>
      </c>
      <c r="F148" s="13">
        <f>HLOOKUP($E$5,'Bourgeoisie bilan'!$F$4:$S$229,142,0)</f>
        <v>121767.95</v>
      </c>
    </row>
    <row r="149" spans="3:6" x14ac:dyDescent="0.2">
      <c r="D149" s="8">
        <v>2042</v>
      </c>
      <c r="E149" s="8" t="s">
        <v>325</v>
      </c>
      <c r="F149" s="13">
        <f>HLOOKUP($E$5,'Bourgeoisie bilan'!$F$4:$S$229,143,0)</f>
        <v>0</v>
      </c>
    </row>
    <row r="150" spans="3:6" x14ac:dyDescent="0.2">
      <c r="D150" s="8">
        <v>2043</v>
      </c>
      <c r="E150" s="8" t="s">
        <v>326</v>
      </c>
      <c r="F150" s="13">
        <f>HLOOKUP($E$5,'Bourgeoisie bilan'!$F$4:$S$229,144,0)</f>
        <v>0</v>
      </c>
    </row>
    <row r="151" spans="3:6" x14ac:dyDescent="0.2">
      <c r="D151" s="8">
        <v>2044</v>
      </c>
      <c r="E151" s="8" t="s">
        <v>406</v>
      </c>
      <c r="F151" s="13">
        <f>HLOOKUP($E$5,'Bourgeoisie bilan'!$F$4:$S$229,145,0)</f>
        <v>0</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203791.43</v>
      </c>
    </row>
    <row r="155" spans="3:6" x14ac:dyDescent="0.2">
      <c r="F155" s="13"/>
    </row>
    <row r="156" spans="3:6" ht="15" x14ac:dyDescent="0.25">
      <c r="C156" s="123">
        <v>205</v>
      </c>
      <c r="D156" s="123"/>
      <c r="E156" s="123" t="s">
        <v>252</v>
      </c>
      <c r="F156" s="124">
        <f>HLOOKUP($E$5,'Bourgeoisie bilan'!$F$4:$S$229,150,0)</f>
        <v>0</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0</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3182300</v>
      </c>
    </row>
    <row r="169" spans="3:6" x14ac:dyDescent="0.2">
      <c r="D169" s="8">
        <v>2060</v>
      </c>
      <c r="E169" s="8" t="s">
        <v>419</v>
      </c>
      <c r="F169" s="13">
        <f>HLOOKUP($E$5,'Bourgeoisie bilan'!$F$4:$S$229,163,0)</f>
        <v>3182300</v>
      </c>
    </row>
    <row r="170" spans="3:6" x14ac:dyDescent="0.2">
      <c r="D170" s="8">
        <v>2062</v>
      </c>
      <c r="E170" s="8" t="s">
        <v>420</v>
      </c>
      <c r="F170" s="13">
        <f>HLOOKUP($E$5,'Bourgeoisie bilan'!$F$4:$S$229,164,0)</f>
        <v>0</v>
      </c>
    </row>
    <row r="171" spans="3:6" x14ac:dyDescent="0.2">
      <c r="D171" s="8">
        <v>2063</v>
      </c>
      <c r="E171" s="8" t="s">
        <v>421</v>
      </c>
      <c r="F171" s="13">
        <f>HLOOKUP($E$5,'Bourgeoisie bilan'!$F$4:$S$229,165,0)</f>
        <v>0</v>
      </c>
    </row>
    <row r="172" spans="3:6" x14ac:dyDescent="0.2">
      <c r="D172" s="8">
        <v>2064</v>
      </c>
      <c r="E172" s="8" t="s">
        <v>442</v>
      </c>
      <c r="F172" s="13">
        <f>HLOOKUP($E$5,'Bourgeoisie bilan'!$F$4:$S$229,166,0)</f>
        <v>0</v>
      </c>
    </row>
    <row r="173" spans="3:6" x14ac:dyDescent="0.2">
      <c r="D173" s="8">
        <v>2067</v>
      </c>
      <c r="E173" s="8" t="s">
        <v>423</v>
      </c>
      <c r="F173" s="13">
        <f>HLOOKUP($E$5,'Bourgeoisie bilan'!$F$4:$S$229,167,0)</f>
        <v>0</v>
      </c>
    </row>
    <row r="174" spans="3:6" x14ac:dyDescent="0.2">
      <c r="D174" s="8">
        <v>2069</v>
      </c>
      <c r="E174" s="8" t="s">
        <v>424</v>
      </c>
      <c r="F174" s="13">
        <f>HLOOKUP($E$5,'Bourgeoisie bilan'!$F$4:$S$229,168,0)</f>
        <v>0</v>
      </c>
    </row>
    <row r="175" spans="3:6" x14ac:dyDescent="0.2">
      <c r="F175" s="13"/>
    </row>
    <row r="176" spans="3:6" ht="15" x14ac:dyDescent="0.25">
      <c r="C176" s="123">
        <v>208</v>
      </c>
      <c r="D176" s="123"/>
      <c r="E176" s="123" t="s">
        <v>254</v>
      </c>
      <c r="F176" s="124">
        <f>HLOOKUP($E$5,'Bourgeoisie bilan'!$F$4:$S$229,170,0)</f>
        <v>770000</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0</v>
      </c>
    </row>
    <row r="181" spans="3:6" x14ac:dyDescent="0.2">
      <c r="D181" s="8">
        <v>2085</v>
      </c>
      <c r="E181" s="8" t="s">
        <v>430</v>
      </c>
      <c r="F181" s="13">
        <f>HLOOKUP($E$5,'Bourgeoisie bilan'!$F$4:$S$229,175,0)</f>
        <v>770000</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0</v>
      </c>
    </row>
    <row r="188" spans="3:6" x14ac:dyDescent="0.2">
      <c r="D188" s="8">
        <v>2090</v>
      </c>
      <c r="E188" s="8" t="s">
        <v>255</v>
      </c>
      <c r="F188" s="13">
        <f>HLOOKUP($E$5,'Bourgeoisie bilan'!$F$4:$S$229,182,0)</f>
        <v>0</v>
      </c>
    </row>
    <row r="189" spans="3:6" x14ac:dyDescent="0.2">
      <c r="D189" s="8">
        <v>2091</v>
      </c>
      <c r="E189" s="8" t="s">
        <v>434</v>
      </c>
      <c r="F189" s="13">
        <f>HLOOKUP($E$5,'Bourgeoisie bilan'!$F$4:$S$229,183,0)</f>
        <v>0</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3">
        <f>HLOOKUP($E$5,'Bourgeoisie bilan'!$F$4:$S$229,187,0)</f>
        <v>30230022.870000001</v>
      </c>
    </row>
    <row r="194" spans="2:6" ht="15" x14ac:dyDescent="0.25">
      <c r="C194" s="123">
        <v>290</v>
      </c>
      <c r="D194" s="123"/>
      <c r="E194" s="123" t="s">
        <v>257</v>
      </c>
      <c r="F194" s="124">
        <f>HLOOKUP($E$5,'Bourgeoisie bilan'!$F$4:$S$229,188,0)</f>
        <v>3065881.18</v>
      </c>
    </row>
    <row r="195" spans="2:6" x14ac:dyDescent="0.2">
      <c r="D195" s="8">
        <v>2900</v>
      </c>
      <c r="E195" s="8" t="s">
        <v>257</v>
      </c>
      <c r="F195" s="13">
        <f>HLOOKUP($E$5,'Bourgeoisie bilan'!$F$4:$S$229,189,0)</f>
        <v>3065881.18</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0</v>
      </c>
    </row>
    <row r="202" spans="2:6" x14ac:dyDescent="0.2">
      <c r="D202" s="8">
        <v>2920</v>
      </c>
      <c r="E202" s="8" t="s">
        <v>259</v>
      </c>
      <c r="F202" s="13">
        <f>HLOOKUP($E$5,'Bourgeoisie bilan'!$F$4:$S$229,196,0)</f>
        <v>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10000</v>
      </c>
    </row>
    <row r="208" spans="2:6" x14ac:dyDescent="0.2">
      <c r="D208" s="8">
        <v>2940</v>
      </c>
      <c r="E208" s="8" t="s">
        <v>261</v>
      </c>
      <c r="F208" s="13">
        <f>HLOOKUP($E$5,'Bourgeoisie bilan'!$F$4:$S$229,202,0)</f>
        <v>10000</v>
      </c>
    </row>
    <row r="209" spans="3:6" x14ac:dyDescent="0.2">
      <c r="F209" s="13"/>
    </row>
    <row r="210" spans="3:6" ht="15" x14ac:dyDescent="0.25">
      <c r="C210" s="123">
        <v>295</v>
      </c>
      <c r="D210" s="123"/>
      <c r="E210" s="123" t="s">
        <v>262</v>
      </c>
      <c r="F210" s="124">
        <f>HLOOKUP($E$5,'Bourgeoisie bilan'!$F$4:$S$229,204,0)</f>
        <v>0</v>
      </c>
    </row>
    <row r="211" spans="3:6" x14ac:dyDescent="0.2">
      <c r="D211" s="8">
        <v>2950</v>
      </c>
      <c r="E211" s="8" t="s">
        <v>262</v>
      </c>
      <c r="F211" s="13">
        <f>HLOOKUP($E$5,'Bourgeoisie bilan'!$F$4:$S$229,205,0)</f>
        <v>0</v>
      </c>
    </row>
    <row r="212" spans="3:6" x14ac:dyDescent="0.2">
      <c r="F212" s="13"/>
    </row>
    <row r="213" spans="3:6" ht="15" x14ac:dyDescent="0.25">
      <c r="C213" s="123">
        <v>296</v>
      </c>
      <c r="D213" s="123"/>
      <c r="E213" s="123" t="s">
        <v>263</v>
      </c>
      <c r="F213" s="124">
        <f>HLOOKUP($E$5,'Bourgeoisie bilan'!$F$4:$S$229,207,0)</f>
        <v>23553589</v>
      </c>
    </row>
    <row r="214" spans="3:6" x14ac:dyDescent="0.2">
      <c r="D214" s="8">
        <v>2960</v>
      </c>
      <c r="E214" s="8" t="s">
        <v>263</v>
      </c>
      <c r="F214" s="13">
        <f>HLOOKUP($E$5,'Bourgeoisie bilan'!$F$4:$S$229,208,0)</f>
        <v>23553589</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3600552.69</v>
      </c>
    </row>
    <row r="220" spans="3:6" x14ac:dyDescent="0.2">
      <c r="D220" s="8">
        <v>2990</v>
      </c>
      <c r="E220" s="8" t="s">
        <v>438</v>
      </c>
      <c r="F220" s="13">
        <f>HLOOKUP($E$5,'Bourgeoisie bilan'!$F$4:$S$229,214,0)</f>
        <v>1575.32</v>
      </c>
    </row>
    <row r="221" spans="3:6" x14ac:dyDescent="0.2">
      <c r="D221" s="8">
        <v>2999</v>
      </c>
      <c r="E221" s="8" t="s">
        <v>815</v>
      </c>
      <c r="F221" s="13">
        <f>HLOOKUP($E$5,'Bourgeoisie bilan'!$F$4:$S$229,215,0)</f>
        <v>3598977.37</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1575.32</v>
      </c>
    </row>
    <row r="226" spans="4:6" x14ac:dyDescent="0.2">
      <c r="F226" s="13"/>
    </row>
    <row r="227" spans="4:6" ht="15" x14ac:dyDescent="0.25">
      <c r="E227" s="7" t="s">
        <v>576</v>
      </c>
      <c r="F227" s="13">
        <f>HLOOKUP($E$5,'Bourgeoisie bilan'!$F$4:$S$229,221,0)</f>
        <v>1575.32</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A3" sqref="A3"/>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2024-09-18T08:59:12Z</dcterms:modified>
</cp:coreProperties>
</file>