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3" activeTab="53"/>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<sst xmlns="http://schemas.openxmlformats.org/spreadsheetml/2006/main" count="5620" uniqueCount="888">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</sst>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D3" sqref="D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D3" sqref="D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D3" sqref="D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D3" sqref="D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D3" sqref="D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tabSelected="1" workbookViewId="0">
      <selection activeCell="F18" sqref="F18"/>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64</v>
      </c>
    </row>
    <row r="7" spans="1:5" ht="15" x14ac:dyDescent="0.25">
      <c r="E7" s="30" t="s">
        <v>198</v>
      </c>
    </row>
    <row r="8" spans="1:5" ht="20.25" x14ac:dyDescent="0.3">
      <c r="A8" s="11">
        <v>3</v>
      </c>
      <c r="B8" s="11"/>
      <c r="C8" s="11"/>
      <c r="D8" s="11" t="s">
        <v>59</v>
      </c>
      <c r="E8" s="93">
        <f>HLOOKUP($D$5,'Syndicats comptes 2023'!$E$4:$AF$168,2,0)</f>
        <v>42748505.260000005</v>
      </c>
    </row>
    <row r="9" spans="1:5" ht="15" x14ac:dyDescent="0.25">
      <c r="A9" s="75"/>
      <c r="B9" s="75">
        <v>30</v>
      </c>
      <c r="C9" s="75"/>
      <c r="D9" s="75" t="s">
        <v>60</v>
      </c>
      <c r="E9" s="76">
        <f>HLOOKUP($D$5,'Syndicats comptes 2023'!$E$4:$AF$168,3,0)</f>
        <v>6007508.2000000011</v>
      </c>
    </row>
    <row r="10" spans="1:5" x14ac:dyDescent="0.2">
      <c r="C10" s="8">
        <v>300</v>
      </c>
      <c r="D10" s="8" t="s">
        <v>77</v>
      </c>
      <c r="E10" s="13">
        <f>HLOOKUP($D$5,'Syndicats comptes 2023'!$E$4:$AF$168,4,0)</f>
        <v>259125.69999999998</v>
      </c>
    </row>
    <row r="11" spans="1:5" x14ac:dyDescent="0.2">
      <c r="C11" s="8">
        <v>301</v>
      </c>
      <c r="D11" s="8" t="s">
        <v>78</v>
      </c>
      <c r="E11" s="13">
        <f>HLOOKUP($D$5,'Syndicats comptes 2023'!$E$4:$AF$168,5,0)</f>
        <v>4549214.5900000008</v>
      </c>
    </row>
    <row r="12" spans="1:5" x14ac:dyDescent="0.2">
      <c r="C12" s="8">
        <v>302</v>
      </c>
      <c r="D12" s="8" t="s">
        <v>79</v>
      </c>
      <c r="E12" s="13">
        <f>HLOOKUP($D$5,'Syndicats comptes 2023'!$E$4:$AF$168,6,0)</f>
        <v>29115</v>
      </c>
    </row>
    <row r="13" spans="1:5" x14ac:dyDescent="0.2">
      <c r="C13" s="8">
        <v>303</v>
      </c>
      <c r="D13" s="8" t="s">
        <v>80</v>
      </c>
      <c r="E13" s="13">
        <f>HLOOKUP($D$5,'Syndicats comptes 2023'!$E$4:$AF$168,7,0)</f>
        <v>82623.399999999994</v>
      </c>
    </row>
    <row r="14" spans="1:5" x14ac:dyDescent="0.2">
      <c r="C14" s="8">
        <v>304</v>
      </c>
      <c r="D14" s="8" t="s">
        <v>572</v>
      </c>
      <c r="E14" s="13">
        <f>HLOOKUP($D$5,'Syndicats comptes 2023'!$E$4:$AF$168,8,0)</f>
        <v>9550</v>
      </c>
    </row>
    <row r="15" spans="1:5" x14ac:dyDescent="0.2">
      <c r="C15" s="8">
        <v>305</v>
      </c>
      <c r="D15" s="8" t="s">
        <v>81</v>
      </c>
      <c r="E15" s="13">
        <f>HLOOKUP($D$5,'Syndicats comptes 2023'!$E$4:$AF$168,9,0)</f>
        <v>966898.91999999993</v>
      </c>
    </row>
    <row r="16" spans="1:5" x14ac:dyDescent="0.2">
      <c r="C16" s="8">
        <v>306</v>
      </c>
      <c r="D16" s="8" t="s">
        <v>82</v>
      </c>
      <c r="E16" s="13">
        <f>HLOOKUP($D$5,'Syndicats comptes 2023'!$E$4:$AF$168,10,0)</f>
        <v>4960</v>
      </c>
    </row>
    <row r="17" spans="2:5" x14ac:dyDescent="0.2">
      <c r="C17" s="8">
        <v>309</v>
      </c>
      <c r="D17" s="8" t="s">
        <v>83</v>
      </c>
      <c r="E17" s="13">
        <f>HLOOKUP($D$5,'Syndicats comptes 2023'!$E$4:$AF$168,11,0)</f>
        <v>106020.58999999998</v>
      </c>
    </row>
    <row r="18" spans="2:5" x14ac:dyDescent="0.2">
      <c r="E18" s="13"/>
    </row>
    <row r="19" spans="2:5" ht="15" x14ac:dyDescent="0.25">
      <c r="B19" s="75">
        <v>31</v>
      </c>
      <c r="C19" s="75"/>
      <c r="D19" s="75" t="s">
        <v>84</v>
      </c>
      <c r="E19" s="76">
        <f>HLOOKUP($D$5,'Syndicats comptes 2023'!$E$4:$AF$168,13,0)</f>
        <v>17260223.450000003</v>
      </c>
    </row>
    <row r="20" spans="2:5" x14ac:dyDescent="0.2">
      <c r="C20" s="8">
        <v>310</v>
      </c>
      <c r="D20" s="8" t="s">
        <v>85</v>
      </c>
      <c r="E20" s="13">
        <f>HLOOKUP($D$5,'Syndicats comptes 2023'!$E$4:$AF$168,14,0)</f>
        <v>2213925.5399999996</v>
      </c>
    </row>
    <row r="21" spans="2:5" x14ac:dyDescent="0.2">
      <c r="C21" s="8">
        <v>311</v>
      </c>
      <c r="D21" s="8" t="s">
        <v>446</v>
      </c>
      <c r="E21" s="13">
        <f>HLOOKUP($D$5,'Syndicats comptes 2023'!$E$4:$AF$168,15,0)</f>
        <v>334219.45</v>
      </c>
    </row>
    <row r="22" spans="2:5" x14ac:dyDescent="0.2">
      <c r="C22" s="8">
        <v>312</v>
      </c>
      <c r="D22" s="8" t="s">
        <v>87</v>
      </c>
      <c r="E22" s="13">
        <f>HLOOKUP($D$5,'Syndicats comptes 2023'!$E$4:$AF$168,16,0)</f>
        <v>3309917.1599999997</v>
      </c>
    </row>
    <row r="23" spans="2:5" x14ac:dyDescent="0.2">
      <c r="C23" s="8">
        <v>313</v>
      </c>
      <c r="D23" s="8" t="s">
        <v>88</v>
      </c>
      <c r="E23" s="13">
        <f>HLOOKUP($D$5,'Syndicats comptes 2023'!$E$4:$AF$168,17,0)</f>
        <v>7248743.8900000015</v>
      </c>
    </row>
    <row r="24" spans="2:5" x14ac:dyDescent="0.2">
      <c r="C24" s="8">
        <v>314</v>
      </c>
      <c r="D24" s="8" t="s">
        <v>814</v>
      </c>
      <c r="E24" s="13">
        <f>HLOOKUP($D$5,'Syndicats comptes 2023'!$E$4:$AF$168,18,0)</f>
        <v>1852176.04</v>
      </c>
    </row>
    <row r="25" spans="2:5" x14ac:dyDescent="0.2">
      <c r="C25" s="8">
        <v>315</v>
      </c>
      <c r="D25" s="8" t="s">
        <v>89</v>
      </c>
      <c r="E25" s="13">
        <f>HLOOKUP($D$5,'Syndicats comptes 2023'!$E$4:$AF$168,19,0)</f>
        <v>417210.37000000005</v>
      </c>
    </row>
    <row r="26" spans="2:5" x14ac:dyDescent="0.2">
      <c r="C26" s="8">
        <v>316</v>
      </c>
      <c r="D26" s="8" t="s">
        <v>90</v>
      </c>
      <c r="E26" s="13">
        <f>HLOOKUP($D$5,'Syndicats comptes 2023'!$E$4:$AF$168,20,0)</f>
        <v>790487.84000000008</v>
      </c>
    </row>
    <row r="27" spans="2:5" x14ac:dyDescent="0.2">
      <c r="C27" s="8">
        <v>317</v>
      </c>
      <c r="D27" s="8" t="s">
        <v>91</v>
      </c>
      <c r="E27" s="13">
        <f>HLOOKUP($D$5,'Syndicats comptes 2023'!$E$4:$AF$168,21,0)</f>
        <v>962420.61</v>
      </c>
    </row>
    <row r="28" spans="2:5" x14ac:dyDescent="0.2">
      <c r="C28" s="8">
        <v>318</v>
      </c>
      <c r="D28" s="8" t="s">
        <v>92</v>
      </c>
      <c r="E28" s="13">
        <f>HLOOKUP($D$5,'Syndicats comptes 2023'!$E$4:$AF$168,22,0)</f>
        <v>42164.6</v>
      </c>
    </row>
    <row r="29" spans="2:5" x14ac:dyDescent="0.2">
      <c r="C29" s="8">
        <v>319</v>
      </c>
      <c r="D29" s="8" t="s">
        <v>93</v>
      </c>
      <c r="E29" s="13">
        <f>HLOOKUP($D$5,'Syndicats comptes 2023'!$E$4:$AF$168,23,0)</f>
        <v>88957.95</v>
      </c>
    </row>
    <row r="30" spans="2:5" x14ac:dyDescent="0.2">
      <c r="E30" s="13"/>
    </row>
    <row r="31" spans="2:5" ht="15" x14ac:dyDescent="0.25">
      <c r="B31" s="75">
        <v>33</v>
      </c>
      <c r="C31" s="75"/>
      <c r="D31" s="75" t="s">
        <v>94</v>
      </c>
      <c r="E31" s="76">
        <f>HLOOKUP($D$5,'Syndicats comptes 2023'!$E$4:$AF$168,25,0)</f>
        <v>9748812.7200000007</v>
      </c>
    </row>
    <row r="32" spans="2:5" x14ac:dyDescent="0.2">
      <c r="C32" s="8">
        <v>330</v>
      </c>
      <c r="D32" s="8" t="s">
        <v>96</v>
      </c>
      <c r="E32" s="13">
        <f>HLOOKUP($D$5,'Syndicats comptes 2023'!$E$4:$AF$168,26,0)</f>
        <v>9744762.7200000007</v>
      </c>
    </row>
    <row r="33" spans="2:5" x14ac:dyDescent="0.2">
      <c r="C33" s="8">
        <v>332</v>
      </c>
      <c r="D33" s="8" t="s">
        <v>95</v>
      </c>
      <c r="E33" s="13">
        <f>HLOOKUP($D$5,'Syndicats comptes 2023'!$E$4:$AF$168,27,0)</f>
        <v>4050</v>
      </c>
    </row>
    <row r="34" spans="2:5" x14ac:dyDescent="0.2">
      <c r="E34" s="13"/>
    </row>
    <row r="35" spans="2:5" ht="15" x14ac:dyDescent="0.25">
      <c r="B35" s="75">
        <v>34</v>
      </c>
      <c r="C35" s="75"/>
      <c r="D35" s="75" t="s">
        <v>97</v>
      </c>
      <c r="E35" s="76">
        <f>HLOOKUP($D$5,'Syndicats comptes 2023'!$E$4:$AF$168,29,0)</f>
        <v>831918.24999999988</v>
      </c>
    </row>
    <row r="36" spans="2:5" x14ac:dyDescent="0.2">
      <c r="C36" s="8">
        <v>340</v>
      </c>
      <c r="D36" s="8" t="s">
        <v>98</v>
      </c>
      <c r="E36" s="13">
        <f>HLOOKUP($D$5,'Syndicats comptes 2023'!$E$4:$AF$168,30,0)</f>
        <v>770574</v>
      </c>
    </row>
    <row r="37" spans="2:5" x14ac:dyDescent="0.2">
      <c r="C37" s="8">
        <v>341</v>
      </c>
      <c r="D37" s="8" t="s">
        <v>99</v>
      </c>
      <c r="E37" s="13">
        <f>HLOOKUP($D$5,'Syndicats comptes 2023'!$E$4:$AF$168,31,0)</f>
        <v>328.95</v>
      </c>
    </row>
    <row r="38" spans="2:5" x14ac:dyDescent="0.2">
      <c r="C38" s="8">
        <v>342</v>
      </c>
      <c r="D38" s="8" t="s">
        <v>100</v>
      </c>
      <c r="E38" s="13">
        <f>HLOOKUP($D$5,'Syndicats comptes 2023'!$E$4:$AF$168,32,0)</f>
        <v>0</v>
      </c>
    </row>
    <row r="39" spans="2:5" x14ac:dyDescent="0.2">
      <c r="C39" s="8">
        <v>343</v>
      </c>
      <c r="D39" s="8" t="s">
        <v>101</v>
      </c>
      <c r="E39" s="13">
        <f>HLOOKUP($D$5,'Syndicats comptes 2023'!$E$4:$AF$168,33,0)</f>
        <v>61997.35</v>
      </c>
    </row>
    <row r="40" spans="2:5" x14ac:dyDescent="0.2">
      <c r="C40" s="8">
        <v>344</v>
      </c>
      <c r="D40" s="8" t="s">
        <v>102</v>
      </c>
      <c r="E40" s="13">
        <f>HLOOKUP($D$5,'Syndicats comptes 2023'!$E$4:$AF$168,34,0)</f>
        <v>0</v>
      </c>
    </row>
    <row r="41" spans="2:5" x14ac:dyDescent="0.2">
      <c r="C41" s="8">
        <v>349</v>
      </c>
      <c r="D41" s="8" t="s">
        <v>103</v>
      </c>
      <c r="E41" s="13">
        <f>HLOOKUP($D$5,'Syndicats comptes 2023'!$E$4:$AF$168,35,0)</f>
        <v>-982.05</v>
      </c>
    </row>
    <row r="42" spans="2:5" x14ac:dyDescent="0.2">
      <c r="E42" s="13"/>
    </row>
    <row r="43" spans="2:5" ht="15" x14ac:dyDescent="0.25">
      <c r="B43" s="75">
        <v>35</v>
      </c>
      <c r="C43" s="75"/>
      <c r="D43" s="75" t="s">
        <v>105</v>
      </c>
      <c r="E43" s="76">
        <f>HLOOKUP($D$5,'Syndicats comptes 2023'!$E$4:$AF$168,37,0)</f>
        <v>3401893.52</v>
      </c>
    </row>
    <row r="44" spans="2:5" x14ac:dyDescent="0.2">
      <c r="C44" s="8">
        <v>350</v>
      </c>
      <c r="D44" s="8" t="s">
        <v>105</v>
      </c>
      <c r="E44" s="13">
        <f>HLOOKUP($D$5,'Syndicats comptes 2023'!$E$4:$AF$168,38,0)</f>
        <v>250000</v>
      </c>
    </row>
    <row r="45" spans="2:5" x14ac:dyDescent="0.2">
      <c r="C45" s="8">
        <v>351</v>
      </c>
      <c r="D45" s="8" t="s">
        <v>104</v>
      </c>
      <c r="E45" s="13">
        <f>HLOOKUP($D$5,'Syndicats comptes 2023'!$E$4:$AF$168,39,0)</f>
        <v>3151893.52</v>
      </c>
    </row>
    <row r="46" spans="2:5" x14ac:dyDescent="0.2">
      <c r="E46" s="13"/>
    </row>
    <row r="47" spans="2:5" ht="15" x14ac:dyDescent="0.25">
      <c r="B47" s="75">
        <v>36</v>
      </c>
      <c r="C47" s="75"/>
      <c r="D47" s="75" t="s">
        <v>106</v>
      </c>
      <c r="E47" s="76">
        <f>HLOOKUP($D$5,'Syndicats comptes 2023'!$E$4:$AF$168,41,0)</f>
        <v>2772841.0100000002</v>
      </c>
    </row>
    <row r="48" spans="2:5" x14ac:dyDescent="0.2">
      <c r="C48" s="8">
        <v>360</v>
      </c>
      <c r="D48" s="8" t="s">
        <v>107</v>
      </c>
      <c r="E48" s="13">
        <f>HLOOKUP($D$5,'Syndicats comptes 2023'!$E$4:$AF$168,42,0)</f>
        <v>788490</v>
      </c>
    </row>
    <row r="49" spans="2:5" x14ac:dyDescent="0.2">
      <c r="C49" s="8">
        <v>361</v>
      </c>
      <c r="D49" s="8" t="s">
        <v>108</v>
      </c>
      <c r="E49" s="13">
        <f>HLOOKUP($D$5,'Syndicats comptes 2023'!$E$4:$AF$168,43,0)</f>
        <v>1731771.4100000001</v>
      </c>
    </row>
    <row r="50" spans="2:5" x14ac:dyDescent="0.2">
      <c r="C50" s="8">
        <v>362</v>
      </c>
      <c r="D50" s="8" t="s">
        <v>109</v>
      </c>
      <c r="E50" s="13">
        <f>HLOOKUP($D$5,'Syndicats comptes 2023'!$E$4:$AF$168,44,0)</f>
        <v>0</v>
      </c>
    </row>
    <row r="51" spans="2:5" x14ac:dyDescent="0.2">
      <c r="C51" s="8">
        <v>363</v>
      </c>
      <c r="D51" s="8" t="s">
        <v>110</v>
      </c>
      <c r="E51" s="13">
        <f>HLOOKUP($D$5,'Syndicats comptes 2023'!$E$4:$AF$168,45,0)</f>
        <v>232635.6</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19944</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2500005.2000000002</v>
      </c>
    </row>
    <row r="61" spans="2:5" x14ac:dyDescent="0.2">
      <c r="C61" s="8">
        <v>380</v>
      </c>
      <c r="D61" s="8" t="s">
        <v>118</v>
      </c>
      <c r="E61" s="13">
        <f>HLOOKUP($D$5,'Syndicats comptes 2023'!$E$4:$AF$168,55,0)</f>
        <v>5.2</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2500000</v>
      </c>
    </row>
    <row r="67" spans="1:5" x14ac:dyDescent="0.2">
      <c r="E67" s="13"/>
    </row>
    <row r="68" spans="1:5" ht="15" x14ac:dyDescent="0.25">
      <c r="B68" s="75">
        <v>39</v>
      </c>
      <c r="C68" s="75"/>
      <c r="D68" s="75" t="s">
        <v>124</v>
      </c>
      <c r="E68" s="76">
        <f>HLOOKUP($D$5,'Syndicats comptes 2023'!$E$4:$AF$168,62,0)</f>
        <v>225302.91</v>
      </c>
    </row>
    <row r="69" spans="1:5" x14ac:dyDescent="0.2">
      <c r="C69" s="8">
        <v>390</v>
      </c>
      <c r="D69" s="8" t="s">
        <v>125</v>
      </c>
      <c r="E69" s="13">
        <f>HLOOKUP($D$5,'Syndicats comptes 2023'!$E$4:$AF$168,63,0)</f>
        <v>0</v>
      </c>
    </row>
    <row r="70" spans="1:5" x14ac:dyDescent="0.2">
      <c r="C70" s="8">
        <v>391</v>
      </c>
      <c r="D70" s="8" t="s">
        <v>126</v>
      </c>
      <c r="E70" s="13">
        <f>HLOOKUP($D$5,'Syndicats comptes 2023'!$E$4:$AF$168,64,0)</f>
        <v>593.6</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41558.300000000003</v>
      </c>
    </row>
    <row r="74" spans="1:5" x14ac:dyDescent="0.2">
      <c r="C74" s="8">
        <v>395</v>
      </c>
      <c r="D74" s="8" t="s">
        <v>130</v>
      </c>
      <c r="E74" s="13">
        <f>HLOOKUP($D$5,'Syndicats comptes 2023'!$E$4:$AF$168,68,0)</f>
        <v>0</v>
      </c>
    </row>
    <row r="75" spans="1:5" x14ac:dyDescent="0.2">
      <c r="C75" s="8">
        <v>398</v>
      </c>
      <c r="D75" s="8" t="s">
        <v>131</v>
      </c>
      <c r="E75" s="13">
        <f>HLOOKUP($D$5,'Syndicats comptes 2023'!$E$4:$AF$168,69,0)</f>
        <v>183151.01</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43246878.370000005</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17218672.07</v>
      </c>
    </row>
    <row r="93" spans="2:5" x14ac:dyDescent="0.2">
      <c r="C93" s="8">
        <v>420</v>
      </c>
      <c r="D93" s="8" t="s">
        <v>144</v>
      </c>
      <c r="E93" s="13">
        <f>HLOOKUP($D$5,'Syndicats comptes 2023'!$E$4:$AF$168,87,0)</f>
        <v>0</v>
      </c>
    </row>
    <row r="94" spans="2:5" x14ac:dyDescent="0.2">
      <c r="C94" s="8">
        <v>421</v>
      </c>
      <c r="D94" s="8" t="s">
        <v>145</v>
      </c>
      <c r="E94" s="13">
        <f>HLOOKUP($D$5,'Syndicats comptes 2023'!$E$4:$AF$168,88,0)</f>
        <v>14765.8</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14672382.049999999</v>
      </c>
    </row>
    <row r="98" spans="2:5" x14ac:dyDescent="0.2">
      <c r="C98" s="8">
        <v>425</v>
      </c>
      <c r="D98" s="8" t="s">
        <v>149</v>
      </c>
      <c r="E98" s="13">
        <f>HLOOKUP($D$5,'Syndicats comptes 2023'!$E$4:$AF$168,92,0)</f>
        <v>1965688</v>
      </c>
    </row>
    <row r="99" spans="2:5" x14ac:dyDescent="0.2">
      <c r="C99" s="8">
        <v>426</v>
      </c>
      <c r="D99" s="8" t="s">
        <v>150</v>
      </c>
      <c r="E99" s="13">
        <f>HLOOKUP($D$5,'Syndicats comptes 2023'!$E$4:$AF$168,93,0)</f>
        <v>545254.22</v>
      </c>
    </row>
    <row r="100" spans="2:5" x14ac:dyDescent="0.2">
      <c r="C100" s="8">
        <v>427</v>
      </c>
      <c r="D100" s="8" t="s">
        <v>151</v>
      </c>
      <c r="E100" s="13">
        <f>HLOOKUP($D$5,'Syndicats comptes 2023'!$E$4:$AF$168,94,0)</f>
        <v>910</v>
      </c>
    </row>
    <row r="101" spans="2:5" x14ac:dyDescent="0.2">
      <c r="C101" s="8">
        <v>429</v>
      </c>
      <c r="D101" s="8" t="s">
        <v>152</v>
      </c>
      <c r="E101" s="13">
        <f>HLOOKUP($D$5,'Syndicats comptes 2023'!$E$4:$AF$168,95,0)</f>
        <v>19672</v>
      </c>
    </row>
    <row r="102" spans="2:5" x14ac:dyDescent="0.2">
      <c r="E102" s="13"/>
    </row>
    <row r="103" spans="2:5" ht="15" x14ac:dyDescent="0.25">
      <c r="B103" s="77">
        <v>43</v>
      </c>
      <c r="C103" s="77"/>
      <c r="D103" s="77" t="s">
        <v>153</v>
      </c>
      <c r="E103" s="78">
        <f>HLOOKUP($D$5,'Syndicats comptes 2023'!$E$4:$AF$168,97,0)</f>
        <v>169974.51</v>
      </c>
    </row>
    <row r="104" spans="2:5" x14ac:dyDescent="0.2">
      <c r="C104" s="8">
        <v>430</v>
      </c>
      <c r="D104" s="8" t="s">
        <v>154</v>
      </c>
      <c r="E104" s="13">
        <f>HLOOKUP($D$5,'Syndicats comptes 2023'!$E$4:$AF$168,98,0)</f>
        <v>9902.59</v>
      </c>
    </row>
    <row r="105" spans="2:5" x14ac:dyDescent="0.2">
      <c r="C105" s="8">
        <v>431</v>
      </c>
      <c r="D105" s="8" t="s">
        <v>155</v>
      </c>
      <c r="E105" s="13">
        <f>HLOOKUP($D$5,'Syndicats comptes 2023'!$E$4:$AF$168,99,0)</f>
        <v>140021.02000000002</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20050.900000000001</v>
      </c>
    </row>
    <row r="108" spans="2:5" x14ac:dyDescent="0.2">
      <c r="E108" s="13"/>
    </row>
    <row r="109" spans="2:5" ht="15" x14ac:dyDescent="0.25">
      <c r="B109" s="77">
        <v>44</v>
      </c>
      <c r="C109" s="77"/>
      <c r="D109" s="77" t="s">
        <v>158</v>
      </c>
      <c r="E109" s="78">
        <f>HLOOKUP($D$5,'Syndicats comptes 2023'!$E$4:$AF$168,103,0)</f>
        <v>1446972.94</v>
      </c>
    </row>
    <row r="110" spans="2:5" x14ac:dyDescent="0.2">
      <c r="C110" s="8">
        <v>440</v>
      </c>
      <c r="D110" s="8" t="s">
        <v>159</v>
      </c>
      <c r="E110" s="13">
        <f>HLOOKUP($D$5,'Syndicats comptes 2023'!$E$4:$AF$168,104,0)</f>
        <v>129768.46999999997</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3.9</v>
      </c>
    </row>
    <row r="113" spans="2:5" x14ac:dyDescent="0.2">
      <c r="C113" s="8">
        <v>443</v>
      </c>
      <c r="D113" s="8" t="s">
        <v>162</v>
      </c>
      <c r="E113" s="13">
        <f>HLOOKUP($D$5,'Syndicats comptes 2023'!$E$4:$AF$168,107,0)</f>
        <v>142490</v>
      </c>
    </row>
    <row r="114" spans="2:5" x14ac:dyDescent="0.2">
      <c r="C114" s="8">
        <v>444</v>
      </c>
      <c r="D114" s="8" t="s">
        <v>102</v>
      </c>
      <c r="E114" s="13">
        <f>HLOOKUP($D$5,'Syndicats comptes 2023'!$E$4:$AF$168,108,0)</f>
        <v>201.35</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1174509.22</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5115961.05</v>
      </c>
    </row>
    <row r="122" spans="2:5" x14ac:dyDescent="0.2">
      <c r="C122" s="8">
        <v>450</v>
      </c>
      <c r="D122" s="8" t="s">
        <v>168</v>
      </c>
      <c r="E122" s="13">
        <f>HLOOKUP($D$5,'Syndicats comptes 2023'!$E$4:$AF$168,116,0)</f>
        <v>200000</v>
      </c>
    </row>
    <row r="123" spans="2:5" x14ac:dyDescent="0.2">
      <c r="C123" s="8">
        <v>451</v>
      </c>
      <c r="D123" s="8" t="s">
        <v>169</v>
      </c>
      <c r="E123" s="13">
        <f>HLOOKUP($D$5,'Syndicats comptes 2023'!$E$4:$AF$168,117,0)</f>
        <v>4915961.05</v>
      </c>
    </row>
    <row r="124" spans="2:5" x14ac:dyDescent="0.2">
      <c r="E124" s="13"/>
    </row>
    <row r="125" spans="2:5" ht="15" x14ac:dyDescent="0.25">
      <c r="B125" s="77">
        <v>46</v>
      </c>
      <c r="C125" s="77"/>
      <c r="D125" s="77" t="s">
        <v>171</v>
      </c>
      <c r="E125" s="78">
        <f>HLOOKUP($D$5,'Syndicats comptes 2023'!$E$4:$AF$168,119,0)</f>
        <v>17017150.100000005</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16002280.640000002</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971850.86</v>
      </c>
    </row>
    <row r="130" spans="2:5" x14ac:dyDescent="0.2">
      <c r="C130" s="8">
        <v>469</v>
      </c>
      <c r="D130" s="8" t="s">
        <v>175</v>
      </c>
      <c r="E130" s="13">
        <f>HLOOKUP($D$5,'Syndicats comptes 2023'!$E$4:$AF$168,124,0)</f>
        <v>43018.600000000006</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2069348.69</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2069348.69</v>
      </c>
    </row>
    <row r="143" spans="2:5" x14ac:dyDescent="0.2">
      <c r="E143" s="13"/>
    </row>
    <row r="144" spans="2:5" ht="15" x14ac:dyDescent="0.25">
      <c r="B144" s="77">
        <v>49</v>
      </c>
      <c r="C144" s="77"/>
      <c r="D144" s="77" t="s">
        <v>124</v>
      </c>
      <c r="E144" s="78">
        <f>HLOOKUP($D$5,'Syndicats comptes 2023'!$E$4:$AF$168,138,0)</f>
        <v>208799.01</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593.6</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25054.400000000001</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183151.01</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498373.11000000004</v>
      </c>
    </row>
    <row r="158" spans="1:5" x14ac:dyDescent="0.2">
      <c r="C158" s="8">
        <v>900</v>
      </c>
      <c r="D158" s="8" t="s">
        <v>192</v>
      </c>
      <c r="E158" s="13">
        <f>HLOOKUP($D$5,'Syndicats comptes 2023'!$E$4:$AF$168,152,0)</f>
        <v>310516.22000000003</v>
      </c>
    </row>
    <row r="159" spans="1:5" x14ac:dyDescent="0.2">
      <c r="C159" s="8">
        <v>901</v>
      </c>
      <c r="D159" s="8" t="s">
        <v>193</v>
      </c>
      <c r="E159" s="13">
        <f>HLOOKUP($D$5,'Syndicats comptes 2023'!$E$4:$AF$168,153,0)</f>
        <v>187856.89</v>
      </c>
    </row>
    <row r="160" spans="1:5" x14ac:dyDescent="0.2">
      <c r="E160" s="13"/>
    </row>
    <row r="161" spans="4:5" ht="15" hidden="1" x14ac:dyDescent="0.25">
      <c r="D161" s="7" t="s">
        <v>194</v>
      </c>
      <c r="E161" s="13">
        <f>HLOOKUP($D$5,'Syndicats comptes 2023'!$E$4:$AF$168,155,0)</f>
        <v>498373.11000000004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33" sqref="B3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33" sqref="B3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G10" sqref="G10"/>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G10" sqref="G10"/>
      <selection pane="topRight" activeCell="G10" sqref="G10"/>
      <selection pane="bottomLeft" activeCell="G10" sqref="G10"/>
      <selection pane="bottomRight" activeCell="G10" sqref="G10"/>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G10" sqref="G10"/>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G10" sqref="G10"/>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G10" sqref="G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2024-09-18T14:14:10Z</dcterms:modified>
</cp:coreProperties>
</file>