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51" activeTab="51"/>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r:id="rId52"/>
    <sheet name="Syndicats comptes 2023" sheetId="69" state="hidden" r:id="rId53"/>
    <sheet name="Comptes 2023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BB8" i="32" s="1"/>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AU24" i="32" l="1"/>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E3" i="35"/>
  <c r="BD3" i="37"/>
  <c r="BD9" i="40"/>
  <c r="BD4" i="39"/>
  <c r="BD3" i="38"/>
  <c r="BD3" i="36"/>
  <c r="BD3" i="35"/>
  <c r="BF9" i="40"/>
  <c r="BF4" i="39"/>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<sst xmlns="http://schemas.openxmlformats.org/spreadsheetml/2006/main" count="5620" uniqueCount="888">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</sst>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6">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15:layout/>
              </c:ext>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layout/>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24</xdr:col>
      <xdr:colOff>761999</xdr:colOff>
      <xdr:row>24</xdr:row>
      <xdr:rowOff>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25</xdr:col>
      <xdr:colOff>9524</xdr:colOff>
      <xdr:row>46</xdr:row>
      <xdr:rowOff>9524</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6" t="s">
        <v>719</v>
      </c>
      <c r="H2" s="217"/>
      <c r="I2" s="217"/>
      <c r="J2" s="217"/>
      <c r="K2" s="218"/>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92"/>
  <sheetViews>
    <sheetView zoomScale="115" zoomScaleNormal="115" workbookViewId="0">
      <pane xSplit="4" ySplit="4" topLeftCell="BA14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59"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59"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59"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59"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5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59"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row>
    <row r="156" spans="1:59"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A3" sqref="A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2" t="s">
        <v>581</v>
      </c>
      <c r="C5" s="222"/>
      <c r="D5" s="222"/>
    </row>
    <row r="6" spans="1:5" ht="15.75" thickBot="1" x14ac:dyDescent="0.3">
      <c r="B6" s="219" t="s">
        <v>23</v>
      </c>
      <c r="C6" s="220"/>
      <c r="D6" s="221"/>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A3" sqref="A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A3" sqref="A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8" zoomScale="115" zoomScaleNormal="115" workbookViewId="0">
      <selection activeCell="A3" sqref="A3"/>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BA20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7758416.080000001</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942487868.5800004</v>
      </c>
      <c r="BF5" s="115">
        <f t="shared" ref="BF5:BF13" si="2">SUM(F5:X5)</f>
        <v>464075717.09000003</v>
      </c>
      <c r="BG5" s="115">
        <f t="shared" ref="BG5:BG13" si="3">SUM(Y5:AJ5)</f>
        <v>147691840.05000001</v>
      </c>
      <c r="BH5" s="115">
        <f t="shared" ref="BH5:BH13" si="4">SUM(AK5:BD5)</f>
        <v>330720311.44</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2584544.98</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350070147.77000004</v>
      </c>
      <c r="BF6" s="117">
        <f t="shared" si="2"/>
        <v>159811338.44000003</v>
      </c>
      <c r="BG6" s="117">
        <f t="shared" si="3"/>
        <v>73055839.350000009</v>
      </c>
      <c r="BH6" s="117">
        <f t="shared" si="4"/>
        <v>117202969.98</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763584.64</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89071753.609999985</v>
      </c>
      <c r="BF7" s="107">
        <f t="shared" si="2"/>
        <v>31878835.880000006</v>
      </c>
      <c r="BG7" s="107">
        <f t="shared" si="3"/>
        <v>25036631.350000001</v>
      </c>
      <c r="BH7" s="107">
        <f t="shared" si="4"/>
        <v>32156286.379999995</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5925.65</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153860.00999999998</v>
      </c>
      <c r="BF8" s="95">
        <f t="shared" si="2"/>
        <v>60559.56</v>
      </c>
      <c r="BG8" s="95">
        <f t="shared" si="3"/>
        <v>40330.15</v>
      </c>
      <c r="BH8" s="95">
        <f t="shared" si="4"/>
        <v>52970.299999999996</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202320.72</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24018344.189999994</v>
      </c>
      <c r="BF9" s="95">
        <f t="shared" si="2"/>
        <v>11887137.119999997</v>
      </c>
      <c r="BG9" s="95">
        <f t="shared" si="3"/>
        <v>5979907.6200000001</v>
      </c>
      <c r="BH9" s="95">
        <f t="shared" si="4"/>
        <v>6151299.4499999993</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555338.27</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61829955.309999995</v>
      </c>
      <c r="BF10" s="95">
        <f t="shared" si="2"/>
        <v>19431139.199999996</v>
      </c>
      <c r="BG10" s="95">
        <f t="shared" si="3"/>
        <v>16514412.98</v>
      </c>
      <c r="BH10" s="95">
        <f t="shared" si="4"/>
        <v>25884403.129999999</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856285.84</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87394130.550000012</v>
      </c>
      <c r="BF15" s="107">
        <f t="shared" ref="BF15:BF23" si="9">SUM(F15:X15)</f>
        <v>42359421.349999987</v>
      </c>
      <c r="BG15" s="107">
        <f t="shared" ref="BG15:BG29" si="10">SUM(Y15:AJ15)</f>
        <v>11267157.200000001</v>
      </c>
      <c r="BH15" s="107">
        <f t="shared" ref="BH15:BH23" si="11">SUM(AK15:BD15)</f>
        <v>33767552</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159039.20000000001</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35519997.210000001</v>
      </c>
      <c r="BF16" s="95">
        <f t="shared" si="9"/>
        <v>19894578.5</v>
      </c>
      <c r="BG16" s="95">
        <f t="shared" si="10"/>
        <v>6158705.790000001</v>
      </c>
      <c r="BH16" s="95">
        <f t="shared" si="11"/>
        <v>9466712.9199999999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694867.79</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43392843.340000004</v>
      </c>
      <c r="BF18" s="95">
        <f t="shared" si="9"/>
        <v>17737987.489999998</v>
      </c>
      <c r="BG18" s="95">
        <f t="shared" si="10"/>
        <v>3824976.1700000004</v>
      </c>
      <c r="BH18" s="95">
        <f t="shared" si="11"/>
        <v>21829879.68</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2378.85</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594609.52</v>
      </c>
      <c r="BF23" s="95">
        <f t="shared" si="9"/>
        <v>371242.17999999993</v>
      </c>
      <c r="BG23" s="95">
        <f t="shared" si="10"/>
        <v>142481.64000000001</v>
      </c>
      <c r="BH23" s="95">
        <f t="shared" si="11"/>
        <v>80885.699999999983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33480.199999999997</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31101913.299999993</v>
      </c>
      <c r="BF31" s="107">
        <f t="shared" ref="BF31:BF39" si="15">SUM(F31:X31)</f>
        <v>17775692.319999993</v>
      </c>
      <c r="BG31" s="107">
        <f t="shared" ref="BG31:BG39" si="16">SUM(Y31:AJ31)</f>
        <v>3056237.73</v>
      </c>
      <c r="BH31" s="107">
        <f t="shared" ref="BH31:BH39" si="17">SUM(AK31:BD31)</f>
        <v>10269983.25</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33480.199999999997</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10127510.130000001</v>
      </c>
      <c r="BF33" s="95">
        <f t="shared" si="15"/>
        <v>4705444.8699999992</v>
      </c>
      <c r="BG33" s="95">
        <f t="shared" si="16"/>
        <v>1721625.9799999995</v>
      </c>
      <c r="BH33" s="95">
        <f t="shared" si="17"/>
        <v>3700439.28</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0</v>
      </c>
      <c r="AT35" s="13">
        <v>294001.18</v>
      </c>
      <c r="AU35" s="13">
        <v>14162</v>
      </c>
      <c r="AV35" s="13">
        <v>-3897.75</v>
      </c>
      <c r="AW35" s="13">
        <v>0</v>
      </c>
      <c r="AX35" s="13">
        <v>0</v>
      </c>
      <c r="AY35" s="13">
        <v>10300.66</v>
      </c>
      <c r="AZ35" s="13">
        <v>0</v>
      </c>
      <c r="BA35" s="13">
        <v>0</v>
      </c>
      <c r="BB35" s="13">
        <v>31297.65</v>
      </c>
      <c r="BC35" s="13">
        <v>2015236.48</v>
      </c>
      <c r="BD35" s="13">
        <v>47411.77</v>
      </c>
      <c r="BE35" s="95">
        <f t="shared" si="14"/>
        <v>10745496.910000004</v>
      </c>
      <c r="BF35" s="95">
        <f t="shared" si="15"/>
        <v>6448933.9900000021</v>
      </c>
      <c r="BG35" s="95">
        <f t="shared" si="16"/>
        <v>785664.70000000007</v>
      </c>
      <c r="BH35" s="95">
        <f t="shared" si="17"/>
        <v>3510898.2199999997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316250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29795270.860000003</v>
      </c>
      <c r="BF48" s="107">
        <f>SUM(F48:X48)</f>
        <v>4108257.96</v>
      </c>
      <c r="BG48" s="107">
        <f>SUM(Y48:AJ48)</f>
        <v>23946875.900000002</v>
      </c>
      <c r="BH48" s="107">
        <f>SUM(AK48:BD48)</f>
        <v>1740137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316250</v>
      </c>
      <c r="AT49" s="13">
        <v>0</v>
      </c>
      <c r="AU49" s="13">
        <v>1</v>
      </c>
      <c r="AV49" s="13">
        <v>9</v>
      </c>
      <c r="AW49" s="13">
        <v>105600</v>
      </c>
      <c r="AX49" s="13">
        <v>0</v>
      </c>
      <c r="AY49" s="13">
        <v>1505</v>
      </c>
      <c r="AZ49" s="13">
        <v>163200</v>
      </c>
      <c r="BA49" s="13">
        <v>1200</v>
      </c>
      <c r="BB49" s="13">
        <v>74380</v>
      </c>
      <c r="BC49" s="13">
        <v>869001</v>
      </c>
      <c r="BD49" s="13">
        <v>5</v>
      </c>
      <c r="BE49" s="95">
        <f>SUM(F49:BD49)</f>
        <v>5110229.4000000004</v>
      </c>
      <c r="BF49" s="95">
        <f>SUM(F49:X49)</f>
        <v>1580046.4000000001</v>
      </c>
      <c r="BG49" s="95">
        <f>SUM(Y49:AJ49)</f>
        <v>1882046</v>
      </c>
      <c r="BH49" s="95">
        <f>SUM(AK49:BD49)</f>
        <v>1648137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614944.30000000005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110050852.26999998</v>
      </c>
      <c r="BF54" s="107">
        <f t="shared" ref="BF54:BF60" si="26">SUM(F54:X54)</f>
        <v>63075704.850000001</v>
      </c>
      <c r="BG54" s="107">
        <f t="shared" ref="BG54:BG60" si="27">SUM(Y54:AJ54)</f>
        <v>7752066.2000000002</v>
      </c>
      <c r="BH54" s="107">
        <f t="shared" ref="BH54:BH60" si="28">SUM(AK54:BD54)</f>
        <v>39223081.219999999</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55797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41087057.489999995</v>
      </c>
      <c r="BF55" s="95">
        <f t="shared" si="26"/>
        <v>20962107.919999998</v>
      </c>
      <c r="BG55" s="95">
        <f t="shared" si="27"/>
        <v>2770115.25</v>
      </c>
      <c r="BH55" s="95">
        <f t="shared" si="28"/>
        <v>17354834.32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559147.30000000005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67964047.930000007</v>
      </c>
      <c r="BF56" s="95">
        <f t="shared" si="26"/>
        <v>41445890.030000009</v>
      </c>
      <c r="BG56" s="95">
        <f t="shared" si="27"/>
        <v>4710706.5500000007</v>
      </c>
      <c r="BH56" s="95">
        <f t="shared" si="28"/>
        <v>21807451.350000001</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5173871.1000000006</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592417720.80999982</v>
      </c>
      <c r="BF68" s="119">
        <f t="shared" ref="BF68:BF78" si="32">SUM(F68:X68)</f>
        <v>304264378.64999998</v>
      </c>
      <c r="BG68" s="119">
        <f t="shared" ref="BG68:BG78" si="33">SUM(Y68:AJ68)</f>
        <v>74636000.699999988</v>
      </c>
      <c r="BH68" s="119">
        <f t="shared" ref="BH68:BH78" si="34">SUM(AK68:BD68)</f>
        <v>213517341.46000001</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4938700.6500000004</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566085769.25999987</v>
      </c>
      <c r="BF69" s="107">
        <f t="shared" si="32"/>
        <v>291056640.51999998</v>
      </c>
      <c r="BG69" s="107">
        <f t="shared" si="33"/>
        <v>71864922.629999995</v>
      </c>
      <c r="BH69" s="107">
        <f t="shared" si="34"/>
        <v>203164206.11000001</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110720.65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26977975.079999991</v>
      </c>
      <c r="BF70" s="95">
        <f t="shared" si="32"/>
        <v>8096785.2700000005</v>
      </c>
      <c r="BG70" s="95">
        <f t="shared" si="33"/>
        <v>10417608.41</v>
      </c>
      <c r="BH70" s="95">
        <f t="shared" si="34"/>
        <v>8463581.4000000004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1521400</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114232393.22000001</v>
      </c>
      <c r="BF71" s="95">
        <f t="shared" si="32"/>
        <v>52940072.629999995</v>
      </c>
      <c r="BG71" s="95">
        <f t="shared" si="33"/>
        <v>14263294.83</v>
      </c>
      <c r="BH71" s="95">
        <f t="shared" si="34"/>
        <v>47029025.759999998</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939180</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122906809.64999999</v>
      </c>
      <c r="BF73" s="95">
        <f t="shared" si="32"/>
        <v>73382409.189999983</v>
      </c>
      <c r="BG73" s="95">
        <f t="shared" si="33"/>
        <v>10743886.48</v>
      </c>
      <c r="BH73" s="95">
        <f t="shared" si="34"/>
        <v>38780513.980000004</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1289000</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213485513.71000001</v>
      </c>
      <c r="BF74" s="95">
        <f t="shared" si="32"/>
        <v>119807670.08999999</v>
      </c>
      <c r="BG74" s="95">
        <f t="shared" si="33"/>
        <v>23638493.550000001</v>
      </c>
      <c r="BH74" s="95">
        <f t="shared" si="34"/>
        <v>70039350.069999993</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1060400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34435915.760000005</v>
      </c>
      <c r="BF75" s="95">
        <f t="shared" si="32"/>
        <v>583250</v>
      </c>
      <c r="BG75" s="95">
        <f t="shared" si="33"/>
        <v>8498315.459999999</v>
      </c>
      <c r="BH75" s="95">
        <f t="shared" si="34"/>
        <v>25354350.300000001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18000</v>
      </c>
      <c r="AT76" s="13">
        <v>82132.2</v>
      </c>
      <c r="AU76" s="13">
        <v>1</v>
      </c>
      <c r="AV76" s="13">
        <v>179330</v>
      </c>
      <c r="AW76" s="13">
        <v>35601.22</v>
      </c>
      <c r="AX76" s="13">
        <v>1</v>
      </c>
      <c r="AY76" s="13">
        <v>1</v>
      </c>
      <c r="AZ76" s="13">
        <v>112960</v>
      </c>
      <c r="BA76" s="13">
        <v>0</v>
      </c>
      <c r="BB76" s="13">
        <v>2677.07</v>
      </c>
      <c r="BC76" s="13">
        <v>997648.59</v>
      </c>
      <c r="BD76" s="13">
        <v>3</v>
      </c>
      <c r="BE76" s="95">
        <f t="shared" si="31"/>
        <v>8911848.0200000014</v>
      </c>
      <c r="BF76" s="95">
        <f t="shared" si="32"/>
        <v>5487286.3500000006</v>
      </c>
      <c r="BG76" s="95">
        <f t="shared" si="33"/>
        <v>1246895.75</v>
      </c>
      <c r="BH76" s="95">
        <f t="shared" si="34"/>
        <v>2177665.92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95947.45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9272046.6700000018</v>
      </c>
      <c r="BF80" s="107">
        <f>SUM(F80:X80)</f>
        <v>3805390.41</v>
      </c>
      <c r="BG80" s="107">
        <f>SUM(Y80:AJ80)</f>
        <v>1272922.3999999999</v>
      </c>
      <c r="BH80" s="107">
        <f>SUM(AK80:BD80)</f>
        <v>4193733.8600000003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95947.45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5659967.6700000009</v>
      </c>
      <c r="BF84" s="95">
        <f>SUM(F84:X84)</f>
        <v>2386473.29</v>
      </c>
      <c r="BG84" s="95">
        <f>SUM(Y84:AJ84)</f>
        <v>466154.38</v>
      </c>
      <c r="BH84" s="95">
        <f>SUM(AK84:BD84)</f>
        <v>2807340</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17321</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9464021.589999998</v>
      </c>
      <c r="BF108" s="107">
        <f t="shared" ref="BF108:BF118" si="50">SUM(F108:X108)</f>
        <v>7842192.7199999988</v>
      </c>
      <c r="BG108" s="107">
        <f t="shared" ref="BG108:BG118" si="51">SUM(Y108:AJ108)</f>
        <v>366797.27</v>
      </c>
      <c r="BH108" s="107">
        <f t="shared" ref="BH108:BH118" si="52">SUM(AK108:BD108)</f>
        <v>1255031.6000000001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17321</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9131318.2899999991</v>
      </c>
      <c r="BF111" s="95">
        <f t="shared" si="50"/>
        <v>7565889.419999999</v>
      </c>
      <c r="BG111" s="95">
        <f t="shared" si="51"/>
        <v>352397.27</v>
      </c>
      <c r="BH111" s="95">
        <f t="shared" si="52"/>
        <v>1213031.6000000001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7758416.0800000001</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942487868.5800004</v>
      </c>
      <c r="BF121" s="120">
        <f t="shared" ref="BF121:BF131" si="55">SUM(F121:X121)</f>
        <v>464075717.09000003</v>
      </c>
      <c r="BG121" s="120">
        <f t="shared" ref="BG121:BG131" si="56">SUM(Y121:AJ121)</f>
        <v>147691840.05000001</v>
      </c>
      <c r="BH121" s="120">
        <f t="shared" ref="BH121:BH131" si="57">SUM(AK121:BD121)</f>
        <v>330720311.44</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5683203.0499999998</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649273111.64999986</v>
      </c>
      <c r="BF122" s="122">
        <f t="shared" si="55"/>
        <v>360603444.75</v>
      </c>
      <c r="BG122" s="122">
        <f t="shared" si="56"/>
        <v>65409225.380000003</v>
      </c>
      <c r="BH122" s="122">
        <f t="shared" si="57"/>
        <v>223260441.51999998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678578.01</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37832584.270000003</v>
      </c>
      <c r="BF123" s="124">
        <f t="shared" si="55"/>
        <v>22207179.450000003</v>
      </c>
      <c r="BG123" s="124">
        <f t="shared" si="56"/>
        <v>6714531.5799999991</v>
      </c>
      <c r="BH123" s="124">
        <f t="shared" si="57"/>
        <v>8910873.2399999984</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678565.17</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33190031.840000004</v>
      </c>
      <c r="BF124" s="95">
        <f t="shared" si="55"/>
        <v>20264806.73</v>
      </c>
      <c r="BG124" s="95">
        <f t="shared" si="56"/>
        <v>3974531.4</v>
      </c>
      <c r="BH124" s="95">
        <f t="shared" si="57"/>
        <v>8950693.709999999</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12.84</v>
      </c>
      <c r="AT126" s="13">
        <v>9593.9</v>
      </c>
      <c r="AU126" s="13">
        <v>0</v>
      </c>
      <c r="AV126" s="13">
        <v>-10865.4</v>
      </c>
      <c r="AW126" s="13">
        <v>0</v>
      </c>
      <c r="AX126" s="13">
        <v>0</v>
      </c>
      <c r="AY126" s="13">
        <v>-5234.12</v>
      </c>
      <c r="AZ126" s="13">
        <v>0</v>
      </c>
      <c r="BA126" s="13">
        <v>0</v>
      </c>
      <c r="BB126" s="13">
        <v>17742.3</v>
      </c>
      <c r="BC126" s="13">
        <v>183.08</v>
      </c>
      <c r="BD126" s="13">
        <v>39894.01</v>
      </c>
      <c r="BE126" s="95">
        <f t="shared" si="54"/>
        <v>2348138.6799999997</v>
      </c>
      <c r="BF126" s="95">
        <f t="shared" si="55"/>
        <v>488282.75000000006</v>
      </c>
      <c r="BG126" s="95">
        <f t="shared" si="56"/>
        <v>1762613.27</v>
      </c>
      <c r="BH126" s="95">
        <f t="shared" si="57"/>
        <v>97242.66</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270792.87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106185048.03000003</v>
      </c>
      <c r="BF133" s="124">
        <f t="shared" ref="BF133:BF141" si="62">SUM(F133:X133)</f>
        <v>78328970.630000025</v>
      </c>
      <c r="BG133" s="124">
        <f t="shared" ref="BG133:BG141" si="63">SUM(Y133:AJ133)</f>
        <v>6643684.2599999998</v>
      </c>
      <c r="BH133" s="124">
        <f t="shared" ref="BH133:BH141" si="64">SUM(AK133:BD133)</f>
        <v>21212393.140000004</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13562.87</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35497485.649999999</v>
      </c>
      <c r="BF134" s="95">
        <f t="shared" si="62"/>
        <v>27889243.409999996</v>
      </c>
      <c r="BG134" s="95">
        <f t="shared" si="63"/>
        <v>1787293.7000000002</v>
      </c>
      <c r="BH134" s="95">
        <f t="shared" si="64"/>
        <v>5820948.5399999991</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257230</v>
      </c>
      <c r="AT138" s="13">
        <v>301720</v>
      </c>
      <c r="AU138" s="13">
        <v>19300</v>
      </c>
      <c r="AV138" s="13">
        <v>0</v>
      </c>
      <c r="AW138" s="13">
        <v>147300</v>
      </c>
      <c r="AX138" s="13">
        <v>0</v>
      </c>
      <c r="AY138" s="13">
        <v>0</v>
      </c>
      <c r="AZ138" s="13">
        <v>0</v>
      </c>
      <c r="BA138" s="13">
        <v>0</v>
      </c>
      <c r="BB138" s="13">
        <v>1175260</v>
      </c>
      <c r="BC138" s="13">
        <v>10415200</v>
      </c>
      <c r="BD138" s="13">
        <v>168085</v>
      </c>
      <c r="BE138" s="95">
        <f t="shared" si="61"/>
        <v>59629462.359999999</v>
      </c>
      <c r="BF138" s="95">
        <f t="shared" si="62"/>
        <v>40500251.899999999</v>
      </c>
      <c r="BG138" s="95">
        <f t="shared" si="63"/>
        <v>4447925.46</v>
      </c>
      <c r="BH138" s="95">
        <f t="shared" si="64"/>
        <v>14681285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35907.949999999997</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14757623.329999998</v>
      </c>
      <c r="BF143" s="124">
        <f t="shared" ref="BF143:BF151" si="67">SUM(F143:X143)</f>
        <v>6308518.9800000023</v>
      </c>
      <c r="BG143" s="124">
        <f t="shared" ref="BG143:BG151" si="68">SUM(Y143:AJ143)</f>
        <v>3369079.0700000003</v>
      </c>
      <c r="BH143" s="124">
        <f t="shared" ref="BH143:BH151" si="69">SUM(AK143:BD143)</f>
        <v>5080025.28</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35907.949999999997</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8362096.1400000006</v>
      </c>
      <c r="BF145" s="95">
        <f t="shared" si="67"/>
        <v>3474380.4899999998</v>
      </c>
      <c r="BG145" s="95">
        <f t="shared" si="68"/>
        <v>2754348.2</v>
      </c>
      <c r="BH145" s="95">
        <f t="shared" si="69"/>
        <v>2133367.4500000002</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1174275.9000000001</v>
      </c>
      <c r="BF153" s="124">
        <f t="shared" ref="BF153:BF163" si="72">SUM(F153:X153)</f>
        <v>879012.25000000012</v>
      </c>
      <c r="BG153" s="124">
        <f t="shared" ref="BG153:BG163" si="73">SUM(Y153:AJ153)</f>
        <v>187781.66999999998</v>
      </c>
      <c r="BH153" s="124">
        <f t="shared" ref="BH153:BH163" si="74">SUM(AK153:BD153)</f>
        <v>107481.98</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0</v>
      </c>
      <c r="AT154" s="13">
        <v>0</v>
      </c>
      <c r="AU154" s="13">
        <v>0</v>
      </c>
      <c r="AV154" s="13">
        <v>44532.6</v>
      </c>
      <c r="AW154" s="13">
        <v>14061</v>
      </c>
      <c r="AX154" s="13">
        <v>0</v>
      </c>
      <c r="AY154" s="13">
        <v>0</v>
      </c>
      <c r="AZ154" s="13">
        <v>0</v>
      </c>
      <c r="BA154" s="13">
        <v>0</v>
      </c>
      <c r="BB154" s="13">
        <v>0</v>
      </c>
      <c r="BC154" s="13">
        <v>0</v>
      </c>
      <c r="BD154" s="13">
        <v>0</v>
      </c>
      <c r="BE154" s="95">
        <f t="shared" si="71"/>
        <v>1072216.6700000002</v>
      </c>
      <c r="BF154" s="95">
        <f t="shared" si="72"/>
        <v>825841.4</v>
      </c>
      <c r="BG154" s="95">
        <f t="shared" si="73"/>
        <v>187781.66999999998</v>
      </c>
      <c r="BH154" s="95">
        <f t="shared" si="74"/>
        <v>58593.599999999999</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4689018.5999999996</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471696034.06999993</v>
      </c>
      <c r="BF165" s="124">
        <f t="shared" ref="BF165:BF171" si="77">SUM(F165:X165)</f>
        <v>247424808.08000001</v>
      </c>
      <c r="BG165" s="124">
        <f t="shared" ref="BG165:BG171" si="78">SUM(Y165:AJ165)</f>
        <v>38340198.609999999</v>
      </c>
      <c r="BH165" s="124">
        <f t="shared" ref="BH165:BH171" si="79">SUM(AK165:BD165)</f>
        <v>185931027.38000003</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4777048.5999999996</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255020508</v>
      </c>
      <c r="BF168" s="95">
        <f t="shared" si="77"/>
        <v>65732411.059999995</v>
      </c>
      <c r="BG168" s="95">
        <f t="shared" si="78"/>
        <v>20801946.460000001</v>
      </c>
      <c r="BH168" s="95">
        <f t="shared" si="79"/>
        <v>168486150.48000002</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-88030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190229908.41999999</v>
      </c>
      <c r="BF169" s="95">
        <f t="shared" si="77"/>
        <v>176311090.91999999</v>
      </c>
      <c r="BG169" s="95">
        <f t="shared" si="78"/>
        <v>362834</v>
      </c>
      <c r="BH169" s="95">
        <f t="shared" si="79"/>
        <v>13555983.5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8905.6200000000008</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8980732.9799999986</v>
      </c>
      <c r="BF184" s="124">
        <f>SUM(F184:X184)</f>
        <v>5176509.0399999991</v>
      </c>
      <c r="BG184" s="124">
        <f>SUM(Y184:AJ184)</f>
        <v>1950583.44</v>
      </c>
      <c r="BH184" s="124">
        <f>SUM(AK184:BD184)</f>
        <v>1853640.5</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8905.6200000000008</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8892284.9099999983</v>
      </c>
      <c r="BF186" s="95">
        <f>SUM(F186:X186)</f>
        <v>5176509.0399999991</v>
      </c>
      <c r="BG186" s="95">
        <f>SUM(Y186:AJ186)</f>
        <v>1862135.3699999999</v>
      </c>
      <c r="BH186" s="95">
        <f>SUM(AK186:BD186)</f>
        <v>1853640.5</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2075213.03</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293214756.93000007</v>
      </c>
      <c r="BF190" s="122">
        <f t="shared" si="86"/>
        <v>103472272.33999999</v>
      </c>
      <c r="BG190" s="122">
        <f t="shared" si="86"/>
        <v>82282614.670000002</v>
      </c>
      <c r="BH190" s="122">
        <f t="shared" si="86"/>
        <v>107459869.91999999</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1524803.51</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114168798.20000005</v>
      </c>
      <c r="BF191" s="124">
        <f>SUM(F191:X191)</f>
        <v>60081043.869999997</v>
      </c>
      <c r="BG191" s="124">
        <f>SUM(Y191:AJ191)</f>
        <v>21924727.710000001</v>
      </c>
      <c r="BH191" s="124">
        <f>SUM(AK191:BD191)</f>
        <v>32163026.619999997</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1524803.51</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114168798.20000005</v>
      </c>
      <c r="BF192" s="95">
        <f>SUM(F192:X192)</f>
        <v>60081043.869999997</v>
      </c>
      <c r="BG192" s="95">
        <f>SUM(Y192:AJ192)</f>
        <v>21924727.710000001</v>
      </c>
      <c r="BH192" s="95">
        <f>SUM(AK192:BD192)</f>
        <v>32163026.619999997</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17321</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6578172.9199999999</v>
      </c>
      <c r="BF207" s="124">
        <f>SUM(F207:X207)</f>
        <v>6233943.3200000003</v>
      </c>
      <c r="BG207" s="124">
        <f>SUM(Y207:AJ207)</f>
        <v>0</v>
      </c>
      <c r="BH207" s="124">
        <f>SUM(AK207:BD207)</f>
        <v>344229.6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17321</v>
      </c>
      <c r="AT208" s="13">
        <v>0</v>
      </c>
      <c r="AU208" s="13">
        <v>14782</v>
      </c>
      <c r="AV208" s="13">
        <v>0</v>
      </c>
      <c r="AW208" s="13">
        <v>26802</v>
      </c>
      <c r="AX208" s="13">
        <v>61431</v>
      </c>
      <c r="AY208" s="13">
        <v>13197</v>
      </c>
      <c r="AZ208" s="13">
        <v>68614</v>
      </c>
      <c r="BA208" s="13">
        <v>13700</v>
      </c>
      <c r="BB208" s="13">
        <v>46536.6</v>
      </c>
      <c r="BC208" s="13">
        <v>0</v>
      </c>
      <c r="BD208" s="13">
        <v>25680</v>
      </c>
      <c r="BE208" s="95">
        <f>SUM(F208:BD208)</f>
        <v>6578172.9199999999</v>
      </c>
      <c r="BF208" s="95">
        <f>SUM(F208:X208)</f>
        <v>6233943.3200000003</v>
      </c>
      <c r="BG208" s="95">
        <f>SUM(Y208:AJ208)</f>
        <v>0</v>
      </c>
      <c r="BH208" s="95">
        <f>SUM(AK208:BD208)</f>
        <v>344229.6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258088.52000000002</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107817183.69000003</v>
      </c>
      <c r="BF216" s="194">
        <f>SUM(F216:X216)</f>
        <v>18519776.409999996</v>
      </c>
      <c r="BG216" s="194">
        <f>SUM(Y216:AJ216)</f>
        <v>43032996.629999995</v>
      </c>
      <c r="BH216" s="194">
        <f>SUM(AK216:BD216)</f>
        <v>46264410.649999991</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-103783.8</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2898615.3299999991</v>
      </c>
      <c r="BF217" s="125">
        <f>SUM(F217:X217)</f>
        <v>-1846902.87</v>
      </c>
      <c r="BG217" s="125">
        <f>SUM(Y217:AJ217)</f>
        <v>4743624.4000000004</v>
      </c>
      <c r="BH217" s="125">
        <f>SUM(AK217:BD217)</f>
        <v>1893.7999999999884</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361872.32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104918568.35999998</v>
      </c>
      <c r="BF218" s="125">
        <f>SUM(F218:X218)</f>
        <v>20366679.279999997</v>
      </c>
      <c r="BG218" s="125">
        <f>SUM(Y218:AJ218)</f>
        <v>38289372.229999997</v>
      </c>
      <c r="BH218" s="125">
        <f>SUM(AK218:BD218)</f>
        <v>46262516.850000001</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-103783.8</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2898615.3299999991</v>
      </c>
      <c r="BF222" s="13">
        <f t="shared" si="96"/>
        <v>-1846902.87</v>
      </c>
      <c r="BG222" s="13">
        <f t="shared" si="96"/>
        <v>4743624.4000000004</v>
      </c>
      <c r="BH222" s="13">
        <f t="shared" si="96"/>
        <v>1893.7999999999884</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-205830.1</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7009615.0800000001</v>
      </c>
      <c r="BF224" s="82">
        <f t="shared" si="97"/>
        <v>588117.79</v>
      </c>
      <c r="BG224" s="82">
        <f t="shared" si="97"/>
        <v>5859028.6000000006</v>
      </c>
      <c r="BH224" s="82">
        <f t="shared" si="97"/>
        <v>562468.68999999994</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258088.52000000002</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107817183.69000003</v>
      </c>
      <c r="BF230" s="19">
        <f t="shared" si="99"/>
        <v>18519776.409999996</v>
      </c>
      <c r="BG230" s="19">
        <f t="shared" si="99"/>
        <v>43032996.629999995</v>
      </c>
      <c r="BH230" s="19">
        <f t="shared" si="99"/>
        <v>46264410.649999991</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1524803.51</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114168798.20000005</v>
      </c>
      <c r="BF231" s="19">
        <f t="shared" si="100"/>
        <v>60081043.869999997</v>
      </c>
      <c r="BG231" s="19">
        <f t="shared" si="100"/>
        <v>21924727.710000001</v>
      </c>
      <c r="BH231" s="19">
        <f t="shared" si="100"/>
        <v>32163026.619999997</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1782892.03</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221985981.89000008</v>
      </c>
      <c r="BF232" s="19">
        <f t="shared" si="101"/>
        <v>78600820.280000001</v>
      </c>
      <c r="BG232" s="19">
        <f t="shared" si="101"/>
        <v>64957724.339999996</v>
      </c>
      <c r="BH232" s="19">
        <f t="shared" si="101"/>
        <v>78427437.269999981</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942487868.5800004</v>
      </c>
    </row>
    <row r="6" spans="1:6" ht="15" x14ac:dyDescent="0.25">
      <c r="A6" s="16"/>
      <c r="B6" s="116">
        <v>10</v>
      </c>
      <c r="C6" s="116"/>
      <c r="D6" s="116"/>
      <c r="E6" s="116" t="s">
        <v>236</v>
      </c>
      <c r="F6" s="117">
        <f>'5. Bilan 2023'!BE6</f>
        <v>350070147.77000004</v>
      </c>
    </row>
    <row r="7" spans="1:6" ht="15" x14ac:dyDescent="0.25">
      <c r="A7" s="17"/>
      <c r="B7" s="17"/>
      <c r="C7" s="85">
        <v>100</v>
      </c>
      <c r="D7" s="85"/>
      <c r="E7" s="85" t="s">
        <v>237</v>
      </c>
      <c r="F7" s="107">
        <f>'5. Bilan 2023'!BE7</f>
        <v>89071753.609999985</v>
      </c>
    </row>
    <row r="8" spans="1:6" x14ac:dyDescent="0.2">
      <c r="D8" s="8">
        <v>1000</v>
      </c>
      <c r="E8" s="8" t="s">
        <v>307</v>
      </c>
      <c r="F8" s="18">
        <f>'5. Bilan 2023'!BE8</f>
        <v>153860.00999999998</v>
      </c>
    </row>
    <row r="9" spans="1:6" x14ac:dyDescent="0.2">
      <c r="D9" s="8">
        <v>1001</v>
      </c>
      <c r="E9" s="8" t="s">
        <v>308</v>
      </c>
      <c r="F9" s="18">
        <f>'5. Bilan 2023'!BE9</f>
        <v>24018344.189999994</v>
      </c>
    </row>
    <row r="10" spans="1:6" x14ac:dyDescent="0.2">
      <c r="D10" s="8">
        <v>1002</v>
      </c>
      <c r="E10" s="8" t="s">
        <v>316</v>
      </c>
      <c r="F10" s="18">
        <f>'5. Bilan 2023'!BE10</f>
        <v>61829955.309999995</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87394130.550000012</v>
      </c>
    </row>
    <row r="16" spans="1:6" x14ac:dyDescent="0.2">
      <c r="D16" s="8">
        <v>1010</v>
      </c>
      <c r="E16" s="8" t="s">
        <v>312</v>
      </c>
      <c r="F16" s="18">
        <f>'5. Bilan 2023'!BE16</f>
        <v>35519997.210000001</v>
      </c>
    </row>
    <row r="17" spans="3:6" x14ac:dyDescent="0.2">
      <c r="D17" s="8">
        <v>1011</v>
      </c>
      <c r="E17" s="8" t="s">
        <v>393</v>
      </c>
      <c r="F17" s="18">
        <f>'5. Bilan 2023'!BE17</f>
        <v>5347573.05</v>
      </c>
    </row>
    <row r="18" spans="3:6" x14ac:dyDescent="0.2">
      <c r="D18" s="8">
        <v>1012</v>
      </c>
      <c r="E18" s="8" t="s">
        <v>313</v>
      </c>
      <c r="F18" s="18">
        <f>'5. Bilan 2023'!BE18</f>
        <v>43392843.340000004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594609.52</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31101913.299999993</v>
      </c>
    </row>
    <row r="32" spans="3:6" x14ac:dyDescent="0.2">
      <c r="D32" s="8">
        <v>1040</v>
      </c>
      <c r="E32" s="8" t="s">
        <v>60</v>
      </c>
      <c r="F32" s="18">
        <f>'5. Bilan 2023'!BE32</f>
        <v>77705.350000000006</v>
      </c>
    </row>
    <row r="33" spans="3:6" x14ac:dyDescent="0.2">
      <c r="D33" s="8">
        <v>1041</v>
      </c>
      <c r="E33" s="8" t="s">
        <v>324</v>
      </c>
      <c r="F33" s="18">
        <f>'5. Bilan 2023'!BE33</f>
        <v>10127510.130000001</v>
      </c>
    </row>
    <row r="34" spans="3:6" x14ac:dyDescent="0.2">
      <c r="D34" s="8">
        <v>1042</v>
      </c>
      <c r="E34" s="8" t="s">
        <v>325</v>
      </c>
      <c r="F34" s="18">
        <f>'5. Bilan 2023'!BE34</f>
        <v>4452131.75</v>
      </c>
    </row>
    <row r="35" spans="3:6" x14ac:dyDescent="0.2">
      <c r="D35" s="8">
        <v>1043</v>
      </c>
      <c r="E35" s="8" t="s">
        <v>326</v>
      </c>
      <c r="F35" s="18">
        <f>'5. Bilan 2023'!BE35</f>
        <v>10745496.910000004</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29795270.860000003</v>
      </c>
    </row>
    <row r="49" spans="3:6" x14ac:dyDescent="0.2">
      <c r="D49" s="8">
        <v>1070</v>
      </c>
      <c r="E49" s="8" t="s">
        <v>336</v>
      </c>
      <c r="F49" s="18">
        <f>'5. Bilan 2023'!BE49</f>
        <v>5110229.4000000004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110050852.26999998</v>
      </c>
    </row>
    <row r="55" spans="3:6" x14ac:dyDescent="0.2">
      <c r="D55" s="8">
        <v>1080</v>
      </c>
      <c r="E55" s="8" t="s">
        <v>341</v>
      </c>
      <c r="F55" s="18">
        <f>'5. Bilan 2023'!BE55</f>
        <v>41087057.489999995</v>
      </c>
    </row>
    <row r="56" spans="3:6" x14ac:dyDescent="0.2">
      <c r="D56" s="8">
        <v>1084</v>
      </c>
      <c r="E56" s="8" t="s">
        <v>342</v>
      </c>
      <c r="F56" s="18">
        <f>'5. Bilan 2023'!BE56</f>
        <v>67964047.930000007</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592417720.80999982</v>
      </c>
    </row>
    <row r="69" spans="2:6" ht="15" x14ac:dyDescent="0.25">
      <c r="C69" s="85">
        <v>140</v>
      </c>
      <c r="D69" s="85"/>
      <c r="E69" s="85" t="s">
        <v>245</v>
      </c>
      <c r="F69" s="129">
        <f>'5. Bilan 2023'!BE69</f>
        <v>566085769.25999987</v>
      </c>
    </row>
    <row r="70" spans="2:6" x14ac:dyDescent="0.2">
      <c r="D70" s="8">
        <v>1400</v>
      </c>
      <c r="E70" s="8" t="s">
        <v>351</v>
      </c>
      <c r="F70" s="18">
        <f>'5. Bilan 2023'!BE70</f>
        <v>26977975.079999991</v>
      </c>
    </row>
    <row r="71" spans="2:6" x14ac:dyDescent="0.2">
      <c r="D71" s="8">
        <v>1401</v>
      </c>
      <c r="E71" s="8" t="s">
        <v>352</v>
      </c>
      <c r="F71" s="18">
        <f>'5. Bilan 2023'!BE71</f>
        <v>114232393.22000001</v>
      </c>
    </row>
    <row r="72" spans="2:6" x14ac:dyDescent="0.2">
      <c r="D72" s="8">
        <v>1402</v>
      </c>
      <c r="E72" s="8" t="s">
        <v>353</v>
      </c>
      <c r="F72" s="18">
        <f>'5. Bilan 2023'!BE72</f>
        <v>5997888.6399999987</v>
      </c>
    </row>
    <row r="73" spans="2:6" x14ac:dyDescent="0.2">
      <c r="D73" s="8">
        <v>1403</v>
      </c>
      <c r="E73" s="8" t="s">
        <v>354</v>
      </c>
      <c r="F73" s="18">
        <f>'5. Bilan 2023'!BE73</f>
        <v>122906809.64999999</v>
      </c>
    </row>
    <row r="74" spans="2:6" x14ac:dyDescent="0.2">
      <c r="D74" s="8">
        <v>1404</v>
      </c>
      <c r="E74" s="8" t="s">
        <v>355</v>
      </c>
      <c r="F74" s="18">
        <f>'5. Bilan 2023'!BE74</f>
        <v>213485513.71000001</v>
      </c>
    </row>
    <row r="75" spans="2:6" x14ac:dyDescent="0.2">
      <c r="D75" s="8">
        <v>1405</v>
      </c>
      <c r="E75" s="8" t="s">
        <v>356</v>
      </c>
      <c r="F75" s="18">
        <f>'5. Bilan 2023'!BE75</f>
        <v>34435915.760000005</v>
      </c>
    </row>
    <row r="76" spans="2:6" x14ac:dyDescent="0.2">
      <c r="D76" s="8">
        <v>1406</v>
      </c>
      <c r="E76" s="8" t="s">
        <v>357</v>
      </c>
      <c r="F76" s="18">
        <f>'5. Bilan 2023'!BE76</f>
        <v>8911848.0200000014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9272046.6700000018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9464021.589999998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9131318.2899999991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942487868.5800004</v>
      </c>
    </row>
    <row r="120" spans="1:6" ht="15" x14ac:dyDescent="0.25">
      <c r="A120" s="7"/>
      <c r="B120" s="121">
        <v>20</v>
      </c>
      <c r="C120" s="121"/>
      <c r="D120" s="121"/>
      <c r="E120" s="121" t="s">
        <v>248</v>
      </c>
      <c r="F120" s="122">
        <f>'5. Bilan 2023'!BE122</f>
        <v>649273111.64999986</v>
      </c>
    </row>
    <row r="121" spans="1:6" ht="15" x14ac:dyDescent="0.25">
      <c r="C121" s="123">
        <v>200</v>
      </c>
      <c r="D121" s="123"/>
      <c r="E121" s="123" t="s">
        <v>249</v>
      </c>
      <c r="F121" s="124">
        <f>'5. Bilan 2023'!BE123</f>
        <v>37832584.270000003</v>
      </c>
    </row>
    <row r="122" spans="1:6" x14ac:dyDescent="0.2">
      <c r="D122" s="8">
        <v>2000</v>
      </c>
      <c r="E122" s="8" t="s">
        <v>392</v>
      </c>
      <c r="F122" s="18">
        <f>'5. Bilan 2023'!BE124</f>
        <v>33190031.840000004</v>
      </c>
    </row>
    <row r="123" spans="1:6" x14ac:dyDescent="0.2">
      <c r="D123" s="8">
        <v>2001</v>
      </c>
      <c r="E123" s="8" t="s">
        <v>393</v>
      </c>
      <c r="F123" s="18">
        <f>'5. Bilan 2023'!BE125</f>
        <v>1480738.0300000003</v>
      </c>
    </row>
    <row r="124" spans="1:6" x14ac:dyDescent="0.2">
      <c r="D124" s="8">
        <v>2002</v>
      </c>
      <c r="E124" s="8" t="s">
        <v>394</v>
      </c>
      <c r="F124" s="18">
        <f>'5. Bilan 2023'!BE126</f>
        <v>2348138.6799999997</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106185048.03000003</v>
      </c>
    </row>
    <row r="132" spans="3:6" x14ac:dyDescent="0.2">
      <c r="D132" s="8">
        <v>2010</v>
      </c>
      <c r="E132" s="8" t="s">
        <v>399</v>
      </c>
      <c r="F132" s="18">
        <f>'5. Bilan 2023'!BE134</f>
        <v>35497485.649999999</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59629462.359999999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14757623.329999998</v>
      </c>
    </row>
    <row r="142" spans="3:6" x14ac:dyDescent="0.2">
      <c r="D142" s="8">
        <v>2040</v>
      </c>
      <c r="E142" s="8" t="s">
        <v>60</v>
      </c>
      <c r="F142" s="18">
        <f>'5. Bilan 2023'!BE144</f>
        <v>590893.5</v>
      </c>
    </row>
    <row r="143" spans="3:6" x14ac:dyDescent="0.2">
      <c r="D143" s="8">
        <v>2041</v>
      </c>
      <c r="E143" s="8" t="s">
        <v>273</v>
      </c>
      <c r="F143" s="18">
        <f>'5. Bilan 2023'!BE145</f>
        <v>8362096.1400000006</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1174275.9000000001</v>
      </c>
    </row>
    <row r="152" spans="3:6" x14ac:dyDescent="0.2">
      <c r="D152" s="8">
        <v>2050</v>
      </c>
      <c r="E152" s="8" t="s">
        <v>409</v>
      </c>
      <c r="F152" s="18">
        <f>'5. Bilan 2023'!BE154</f>
        <v>1072216.6700000002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471696034.06999993</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255020508</v>
      </c>
    </row>
    <row r="167" spans="3:6" x14ac:dyDescent="0.2">
      <c r="D167" s="8">
        <v>2064</v>
      </c>
      <c r="E167" s="8" t="s">
        <v>422</v>
      </c>
      <c r="F167" s="18">
        <f>'5. Bilan 2023'!BE169</f>
        <v>190229908.41999999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8980732.9799999986</v>
      </c>
    </row>
    <row r="183" spans="2:6" x14ac:dyDescent="0.2">
      <c r="D183" s="8">
        <v>2090</v>
      </c>
      <c r="E183" s="8" t="s">
        <v>255</v>
      </c>
      <c r="F183" s="18">
        <f>'5. Bilan 2023'!BE185</f>
        <v>30627.82</v>
      </c>
    </row>
    <row r="184" spans="2:6" x14ac:dyDescent="0.2">
      <c r="D184" s="8">
        <v>2091</v>
      </c>
      <c r="E184" s="8" t="s">
        <v>434</v>
      </c>
      <c r="F184" s="18">
        <f>'5. Bilan 2023'!BE186</f>
        <v>8892284.9099999983</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293214756.93000007</v>
      </c>
    </row>
    <row r="189" spans="2:6" ht="15" x14ac:dyDescent="0.25">
      <c r="C189" s="123">
        <v>290</v>
      </c>
      <c r="D189" s="123"/>
      <c r="E189" s="123" t="s">
        <v>257</v>
      </c>
      <c r="F189" s="124">
        <f>'5. Bilan 2023'!BE191</f>
        <v>114168798.20000005</v>
      </c>
    </row>
    <row r="190" spans="2:6" x14ac:dyDescent="0.2">
      <c r="D190" s="8">
        <v>2900</v>
      </c>
      <c r="E190" s="8" t="s">
        <v>257</v>
      </c>
      <c r="F190" s="18">
        <f>'5. Bilan 2023'!BE192</f>
        <v>114168798.20000005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6578172.9199999999</v>
      </c>
    </row>
    <row r="206" spans="3:6" x14ac:dyDescent="0.2">
      <c r="D206" s="8">
        <v>2950</v>
      </c>
      <c r="E206" s="8" t="s">
        <v>262</v>
      </c>
      <c r="F206" s="18">
        <f>'5. Bilan 2023'!BE208</f>
        <v>6578172.9199999999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107817183.69000003</v>
      </c>
    </row>
    <row r="215" spans="3:6" ht="15" x14ac:dyDescent="0.25">
      <c r="D215" s="8">
        <v>2990</v>
      </c>
      <c r="E215" s="8" t="s">
        <v>438</v>
      </c>
      <c r="F215" s="95">
        <f>'5. Bilan 2023'!BE217</f>
        <v>2898615.3299999991</v>
      </c>
    </row>
    <row r="216" spans="3:6" ht="15" x14ac:dyDescent="0.25">
      <c r="D216" s="8">
        <v>2999</v>
      </c>
      <c r="E216" s="8" t="s">
        <v>439</v>
      </c>
      <c r="F216" s="95">
        <f>'5. Bilan 2023'!BE218</f>
        <v>104918568.35999998</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22" workbookViewId="0">
      <selection activeCell="D5" sqref="D5"/>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114168798.20000005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6578172.9199999999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107817183.69000003</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2584544.98</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350070147.77000004</v>
      </c>
      <c r="BC8" s="19">
        <f>SUM(C8:U8)</f>
        <v>159811338.44000003</v>
      </c>
      <c r="BD8" s="19">
        <f>SUM(V8:AG8)</f>
        <v>73055839.350000009</v>
      </c>
      <c r="BE8" s="19">
        <f>SUM(AH8:BA8)</f>
        <v>117202969.98</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5683203.0499999998</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649273111.64999986</v>
      </c>
      <c r="BC10" s="19">
        <f>SUM(C10:U10)</f>
        <v>360603444.75</v>
      </c>
      <c r="BD10" s="19">
        <f>SUM(V10:AG10)</f>
        <v>65409225.380000003</v>
      </c>
      <c r="BE10" s="19">
        <f>SUM(AH10:BA10)</f>
        <v>223260441.51999998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678578.01</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37832584.270000003</v>
      </c>
      <c r="BC12" s="19">
        <f>SUM(C12:U12)</f>
        <v>22207179.450000003</v>
      </c>
      <c r="BD12" s="19">
        <f>SUM(V12:AG12)</f>
        <v>6714531.5799999991</v>
      </c>
      <c r="BE12" s="19">
        <f>SUM(AH12:BA12)</f>
        <v>8910873.2399999984</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270792.87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106185048.03000003</v>
      </c>
      <c r="BC14" s="19">
        <f>SUM(C14:U14)</f>
        <v>78328970.630000025</v>
      </c>
      <c r="BD14" s="19">
        <f>SUM(V14:AG14)</f>
        <v>6643684.2599999998</v>
      </c>
      <c r="BE14" s="19">
        <f>SUM(AH14:BA14)</f>
        <v>21212393.140000004</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4689018.5999999996</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471696034.06999993</v>
      </c>
      <c r="BC16" s="19">
        <f>SUM(C16:U16)</f>
        <v>247424808.08000001</v>
      </c>
      <c r="BD16" s="19">
        <f>SUM(V16:AG16)</f>
        <v>38340198.609999999</v>
      </c>
      <c r="BE16" s="19">
        <f>SUM(AH16:BA16)</f>
        <v>185931027.38000003</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5638389.4799999995</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615713666.37000012</v>
      </c>
      <c r="BC21" s="137">
        <f>SUM(C21:U21)</f>
        <v>347960958.16000009</v>
      </c>
      <c r="BD21" s="137">
        <f>SUM(V21:AG21)</f>
        <v>51698414.450000003</v>
      </c>
      <c r="BE21" s="137">
        <f>SUM(AH21:BA21)</f>
        <v>216054293.75999996</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7820.2350624133142</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8259.2915486666334</v>
      </c>
      <c r="BC22" s="113">
        <f t="shared" ref="BC22:BE22" si="2">BC21/BC6</f>
        <v>8773.5995501765028</v>
      </c>
      <c r="BD22" s="113">
        <f t="shared" si="2"/>
        <v>4909.1647944164852</v>
      </c>
      <c r="BE22" s="113">
        <f t="shared" si="2"/>
        <v>8870.3162852568039</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3098658.07</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299202963.87999994</v>
      </c>
      <c r="BC24" s="137">
        <f>SUM(C24:U24)</f>
        <v>200792106.30999997</v>
      </c>
      <c r="BD24" s="137">
        <f>SUM(V24:AG24)</f>
        <v>-7646613.9699999988</v>
      </c>
      <c r="BE24" s="137">
        <f>SUM(AH24:BA24)</f>
        <v>106057471.53999999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4297.722704576976</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4013.5612475183766</v>
      </c>
      <c r="BC25" s="113">
        <f t="shared" si="4"/>
        <v>5062.8367702975283</v>
      </c>
      <c r="BD25" s="113">
        <f t="shared" si="4"/>
        <v>-726.10521033140242</v>
      </c>
      <c r="BE25" s="113">
        <f t="shared" si="4"/>
        <v>4354.2912320893374</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workbookViewId="0">
      <selection activeCell="D5" sqref="D5"/>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5638389.4799999995</v>
      </c>
      <c r="C42" s="13">
        <f>'5.4 Tableau de l''endettement'!AP22</f>
        <v>7820.2350624133142</v>
      </c>
      <c r="D42" s="13">
        <f>'5.4 Tableau de l''endettement'!AP24</f>
        <v>3098658.07</v>
      </c>
      <c r="E42" s="13">
        <f>'5.4 Tableau de l''endettement'!AP25</f>
        <v>4297.722704576976</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D5" sqref="D5"/>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3">
        <v>2022</v>
      </c>
      <c r="B1" s="223"/>
      <c r="C1" s="223"/>
      <c r="D1" s="223"/>
      <c r="E1" s="223"/>
      <c r="G1" s="223">
        <v>2021</v>
      </c>
      <c r="H1" s="223"/>
      <c r="I1" s="223"/>
      <c r="J1" s="223"/>
      <c r="K1" s="223"/>
      <c r="M1" s="223" t="s">
        <v>838</v>
      </c>
      <c r="N1" s="223"/>
      <c r="O1" s="223"/>
      <c r="P1" s="223"/>
      <c r="Q1" s="223"/>
    </row>
    <row r="2" spans="1:21" x14ac:dyDescent="0.25">
      <c r="A2" s="208" t="s">
        <v>66</v>
      </c>
      <c r="B2" s="208" t="s">
        <v>769</v>
      </c>
      <c r="C2" s="208" t="s">
        <v>771</v>
      </c>
      <c r="D2" s="208" t="s">
        <v>770</v>
      </c>
      <c r="E2" s="208" t="s">
        <v>772</v>
      </c>
      <c r="G2" s="208" t="s">
        <v>66</v>
      </c>
      <c r="H2" s="208" t="s">
        <v>769</v>
      </c>
      <c r="I2" s="208" t="s">
        <v>771</v>
      </c>
      <c r="J2" s="208" t="s">
        <v>770</v>
      </c>
      <c r="K2" s="208" t="s">
        <v>772</v>
      </c>
      <c r="M2" s="208" t="s">
        <v>66</v>
      </c>
      <c r="N2" s="208" t="s">
        <v>769</v>
      </c>
      <c r="O2" s="208" t="s">
        <v>771</v>
      </c>
      <c r="P2" s="208" t="s">
        <v>770</v>
      </c>
      <c r="Q2" s="208" t="s">
        <v>772</v>
      </c>
      <c r="S2" s="223" t="s">
        <v>846</v>
      </c>
      <c r="T2" s="223"/>
      <c r="U2" s="223"/>
    </row>
    <row r="3" spans="1:21" x14ac:dyDescent="0.25">
      <c r="A3" s="209" t="s">
        <v>55</v>
      </c>
      <c r="B3" s="209">
        <v>10231693.5</v>
      </c>
      <c r="C3" s="209">
        <v>10758.878548895898</v>
      </c>
      <c r="D3" s="209">
        <v>4350117.6099999994</v>
      </c>
      <c r="E3" s="209">
        <v>4574.2561619348053</v>
      </c>
      <c r="G3" s="209" t="s">
        <v>55</v>
      </c>
      <c r="H3" s="209">
        <v>10352456.359999999</v>
      </c>
      <c r="I3" s="209">
        <v>10931.844097148891</v>
      </c>
      <c r="J3" s="209">
        <v>4381758.7200000007</v>
      </c>
      <c r="K3" s="209">
        <v>4626.989144667371</v>
      </c>
      <c r="M3" s="209" t="s">
        <v>55</v>
      </c>
      <c r="N3" s="209">
        <f>B3-H3</f>
        <v>-120762.8599999994</v>
      </c>
      <c r="O3" s="209">
        <f>C3-I3</f>
        <v>-172.96554825299245</v>
      </c>
      <c r="P3" s="209">
        <f>D3-J3</f>
        <v>-31641.110000001267</v>
      </c>
      <c r="Q3" s="209">
        <f>E3-K3</f>
        <v>-52.732982732565688</v>
      </c>
      <c r="S3" t="s">
        <v>841</v>
      </c>
      <c r="T3" s="207">
        <v>7</v>
      </c>
      <c r="U3" s="209">
        <f>N16+N17+N18+N26+N45+N47+N49</f>
        <v>374440.23999999976</v>
      </c>
    </row>
    <row r="4" spans="1:21" x14ac:dyDescent="0.25">
      <c r="A4" s="209" t="s">
        <v>17</v>
      </c>
      <c r="B4" s="209">
        <v>2396649.5500000003</v>
      </c>
      <c r="C4" s="209">
        <v>9289.3393410852732</v>
      </c>
      <c r="D4" s="209">
        <v>1350274.5700000003</v>
      </c>
      <c r="E4" s="209">
        <v>5233.6223643410867</v>
      </c>
      <c r="G4" s="209" t="s">
        <v>17</v>
      </c>
      <c r="H4" s="209">
        <v>2474314.7000000002</v>
      </c>
      <c r="I4" s="209">
        <v>9337.0366037735857</v>
      </c>
      <c r="J4" s="209">
        <v>1334174.0200000003</v>
      </c>
      <c r="K4" s="209">
        <v>5034.6189433962272</v>
      </c>
      <c r="M4" s="209" t="s">
        <v>17</v>
      </c>
      <c r="N4" s="209">
        <f t="shared" ref="N4:N55" si="0">B4-H4</f>
        <v>-77665.149999999907</v>
      </c>
      <c r="O4" s="209">
        <f t="shared" ref="O4:O55" si="1">C4-I4</f>
        <v>-47.697262688312549</v>
      </c>
      <c r="P4" s="209">
        <f t="shared" ref="P4:P55" si="2">D4-J4</f>
        <v>16100.550000000047</v>
      </c>
      <c r="Q4" s="209">
        <f t="shared" ref="Q4:Q55" si="3">E4-K4</f>
        <v>199.0034209448595</v>
      </c>
      <c r="S4" t="s">
        <v>842</v>
      </c>
      <c r="T4" s="207">
        <v>8</v>
      </c>
      <c r="U4" s="209">
        <f>N19+N25+N27+N28+N29+N37+N40+N46</f>
        <v>2409157.0600000015</v>
      </c>
    </row>
    <row r="5" spans="1:21" x14ac:dyDescent="0.25">
      <c r="A5" s="209" t="s">
        <v>56</v>
      </c>
      <c r="B5" s="209">
        <v>5213780.8499999996</v>
      </c>
      <c r="C5" s="209">
        <v>11069.598407643311</v>
      </c>
      <c r="D5" s="209">
        <v>2310199.3900000006</v>
      </c>
      <c r="E5" s="209">
        <v>4904.8819320594494</v>
      </c>
      <c r="G5" s="209" t="s">
        <v>56</v>
      </c>
      <c r="H5" s="209">
        <v>5522808.4000000004</v>
      </c>
      <c r="I5" s="209">
        <v>11775.710874200427</v>
      </c>
      <c r="J5" s="209">
        <v>2494295.2999999993</v>
      </c>
      <c r="K5" s="209">
        <v>5318.32686567164</v>
      </c>
      <c r="M5" s="209" t="s">
        <v>56</v>
      </c>
      <c r="N5" s="209">
        <f t="shared" si="0"/>
        <v>-309027.55000000075</v>
      </c>
      <c r="O5" s="209">
        <f t="shared" si="1"/>
        <v>-706.11246655711693</v>
      </c>
      <c r="P5" s="209">
        <f t="shared" si="2"/>
        <v>-184095.90999999875</v>
      </c>
      <c r="Q5" s="209">
        <f t="shared" si="3"/>
        <v>-413.44493361219065</v>
      </c>
      <c r="S5" t="s">
        <v>843</v>
      </c>
      <c r="T5" s="207">
        <v>5</v>
      </c>
      <c r="U5" s="209">
        <f>N11+N41+N44+N51+N52</f>
        <v>3767006.8800000008</v>
      </c>
    </row>
    <row r="6" spans="1:21" x14ac:dyDescent="0.25">
      <c r="A6" s="209" t="s">
        <v>52</v>
      </c>
      <c r="B6" s="209">
        <v>4171946.5700000003</v>
      </c>
      <c r="C6" s="209">
        <v>9460.1963038548765</v>
      </c>
      <c r="D6" s="209">
        <v>29580.799999999814</v>
      </c>
      <c r="E6" s="209">
        <v>67.076643990929284</v>
      </c>
      <c r="G6" s="209" t="s">
        <v>52</v>
      </c>
      <c r="H6" s="209">
        <v>4432305.8599999994</v>
      </c>
      <c r="I6" s="209">
        <v>10096.368701594532</v>
      </c>
      <c r="J6" s="209">
        <v>159665.83999999985</v>
      </c>
      <c r="K6" s="209">
        <v>363.7035079726648</v>
      </c>
      <c r="M6" s="209" t="s">
        <v>52</v>
      </c>
      <c r="N6" s="209">
        <f t="shared" si="0"/>
        <v>-260359.28999999911</v>
      </c>
      <c r="O6" s="209">
        <f t="shared" si="1"/>
        <v>-636.17239773965593</v>
      </c>
      <c r="P6" s="209">
        <f t="shared" si="2"/>
        <v>-130085.04000000004</v>
      </c>
      <c r="Q6" s="209">
        <f t="shared" si="3"/>
        <v>-296.62686398173548</v>
      </c>
      <c r="S6" t="s">
        <v>844</v>
      </c>
      <c r="T6" s="207">
        <v>3</v>
      </c>
      <c r="U6" s="209">
        <f>N7+N13+N54</f>
        <v>6029477.9499999993</v>
      </c>
    </row>
    <row r="7" spans="1:21" x14ac:dyDescent="0.25">
      <c r="A7" s="209" t="s">
        <v>32</v>
      </c>
      <c r="B7" s="209">
        <v>26026875.600000001</v>
      </c>
      <c r="C7" s="209">
        <v>7061.0080303852419</v>
      </c>
      <c r="D7" s="209">
        <v>10596401.889999999</v>
      </c>
      <c r="E7" s="209">
        <v>2874.7699104720559</v>
      </c>
      <c r="G7" s="209" t="s">
        <v>32</v>
      </c>
      <c r="H7" s="209">
        <v>24113627.370000001</v>
      </c>
      <c r="I7" s="209">
        <v>6468.2476850858375</v>
      </c>
      <c r="J7" s="209">
        <v>9596524.3299999982</v>
      </c>
      <c r="K7" s="209">
        <v>2574.1749812231756</v>
      </c>
      <c r="M7" s="209" t="s">
        <v>32</v>
      </c>
      <c r="N7" s="209">
        <f t="shared" si="0"/>
        <v>1913248.2300000004</v>
      </c>
      <c r="O7" s="209">
        <f t="shared" si="1"/>
        <v>592.76034529940443</v>
      </c>
      <c r="P7" s="209">
        <f t="shared" si="2"/>
        <v>999877.56000000052</v>
      </c>
      <c r="Q7" s="209">
        <f t="shared" si="3"/>
        <v>300.59492924888036</v>
      </c>
      <c r="S7" t="s">
        <v>845</v>
      </c>
      <c r="T7" s="207">
        <v>1</v>
      </c>
      <c r="U7" s="209">
        <f>N10</f>
        <v>24088013.099999964</v>
      </c>
    </row>
    <row r="8" spans="1:21" x14ac:dyDescent="0.25">
      <c r="A8" s="209" t="s">
        <v>10</v>
      </c>
      <c r="B8" s="209">
        <v>23189435.620000001</v>
      </c>
      <c r="C8" s="209">
        <v>6999.527805614247</v>
      </c>
      <c r="D8" s="209">
        <v>16567735.970000003</v>
      </c>
      <c r="E8" s="209">
        <v>5000.8258285541815</v>
      </c>
      <c r="G8" s="209" t="s">
        <v>10</v>
      </c>
      <c r="H8" s="209">
        <v>23596343.5</v>
      </c>
      <c r="I8" s="209">
        <v>7054.2133034379667</v>
      </c>
      <c r="J8" s="209">
        <v>16136631.520000003</v>
      </c>
      <c r="K8" s="209">
        <v>4824.1050881913316</v>
      </c>
      <c r="M8" s="209" t="s">
        <v>10</v>
      </c>
      <c r="N8" s="209">
        <f t="shared" si="0"/>
        <v>-406907.87999999896</v>
      </c>
      <c r="O8" s="209">
        <f t="shared" si="1"/>
        <v>-54.685497823719743</v>
      </c>
      <c r="P8" s="209">
        <f t="shared" si="2"/>
        <v>431104.44999999925</v>
      </c>
      <c r="Q8" s="209">
        <f t="shared" si="3"/>
        <v>176.72074036284994</v>
      </c>
      <c r="T8" s="207">
        <f>SUM(T3:T7)</f>
        <v>24</v>
      </c>
      <c r="U8" s="209">
        <f>SUM(U3:U7)</f>
        <v>36668095.229999967</v>
      </c>
    </row>
    <row r="9" spans="1:21" x14ac:dyDescent="0.25">
      <c r="A9" s="209" t="s">
        <v>14</v>
      </c>
      <c r="B9" s="209">
        <v>10340912.189999999</v>
      </c>
      <c r="C9" s="209">
        <v>3896.3497324792766</v>
      </c>
      <c r="D9" s="209">
        <v>-429317.41000000015</v>
      </c>
      <c r="E9" s="209">
        <v>-161.76240015071596</v>
      </c>
      <c r="G9" s="209" t="s">
        <v>14</v>
      </c>
      <c r="H9" s="209">
        <v>10534501.98</v>
      </c>
      <c r="I9" s="209">
        <v>3972.2858144796382</v>
      </c>
      <c r="J9" s="209">
        <v>613443.49000000022</v>
      </c>
      <c r="K9" s="209">
        <v>231.31353318250385</v>
      </c>
      <c r="M9" s="209" t="s">
        <v>14</v>
      </c>
      <c r="N9" s="209">
        <f t="shared" si="0"/>
        <v>-193589.79000000097</v>
      </c>
      <c r="O9" s="209">
        <f t="shared" si="1"/>
        <v>-75.936082000361694</v>
      </c>
      <c r="P9" s="209">
        <f t="shared" si="2"/>
        <v>-1042760.9000000004</v>
      </c>
      <c r="Q9" s="209">
        <f t="shared" si="3"/>
        <v>-393.07593333321984</v>
      </c>
    </row>
    <row r="10" spans="1:21" x14ac:dyDescent="0.25">
      <c r="A10" s="209" t="s">
        <v>27</v>
      </c>
      <c r="B10" s="209">
        <v>166457137.63999999</v>
      </c>
      <c r="C10" s="209">
        <v>13173.246093700536</v>
      </c>
      <c r="D10" s="209">
        <v>103469664.34000002</v>
      </c>
      <c r="E10" s="209">
        <v>8188.4824580563482</v>
      </c>
      <c r="G10" s="209" t="s">
        <v>27</v>
      </c>
      <c r="H10" s="209">
        <v>142369124.54000002</v>
      </c>
      <c r="I10" s="209">
        <v>11408.696573443387</v>
      </c>
      <c r="J10" s="209">
        <v>95429892.970000029</v>
      </c>
      <c r="K10" s="209">
        <v>7647.2387987819557</v>
      </c>
      <c r="M10" s="209" t="s">
        <v>27</v>
      </c>
      <c r="N10" s="209">
        <f t="shared" si="0"/>
        <v>24088013.099999964</v>
      </c>
      <c r="O10" s="209">
        <f t="shared" si="1"/>
        <v>1764.5495202571492</v>
      </c>
      <c r="P10" s="209">
        <f t="shared" si="2"/>
        <v>8039771.3699999899</v>
      </c>
      <c r="Q10" s="209">
        <f t="shared" si="3"/>
        <v>541.24365927439248</v>
      </c>
      <c r="S10" s="223" t="s">
        <v>847</v>
      </c>
      <c r="T10" s="223"/>
      <c r="U10" s="223"/>
    </row>
    <row r="11" spans="1:21" x14ac:dyDescent="0.25">
      <c r="A11" s="209" t="s">
        <v>41</v>
      </c>
      <c r="B11" s="209">
        <v>7684406.9900000002</v>
      </c>
      <c r="C11" s="209">
        <v>5650.2992573529409</v>
      </c>
      <c r="D11" s="209">
        <v>4117624.0699999994</v>
      </c>
      <c r="E11" s="209">
        <v>3027.6647573529408</v>
      </c>
      <c r="G11" s="209" t="s">
        <v>41</v>
      </c>
      <c r="H11" s="209">
        <v>6715713.5199999996</v>
      </c>
      <c r="I11" s="209">
        <v>4941.658219278881</v>
      </c>
      <c r="J11" s="209">
        <v>3276821.4900000007</v>
      </c>
      <c r="K11" s="209">
        <v>2411.2005077262697</v>
      </c>
      <c r="M11" s="209" t="s">
        <v>41</v>
      </c>
      <c r="N11" s="209">
        <f t="shared" si="0"/>
        <v>968693.47000000067</v>
      </c>
      <c r="O11" s="209">
        <f t="shared" si="1"/>
        <v>708.64103807405991</v>
      </c>
      <c r="P11" s="209">
        <f t="shared" si="2"/>
        <v>840802.57999999868</v>
      </c>
      <c r="Q11" s="209">
        <f t="shared" si="3"/>
        <v>616.46424962667106</v>
      </c>
      <c r="S11" t="s">
        <v>841</v>
      </c>
      <c r="T11" s="207">
        <v>7</v>
      </c>
      <c r="U11" s="209">
        <f>N4+N15+N33+N43+N48+N53+N55</f>
        <v>-397959.22999999917</v>
      </c>
    </row>
    <row r="12" spans="1:21" x14ac:dyDescent="0.25">
      <c r="A12" s="209" t="s">
        <v>22</v>
      </c>
      <c r="B12" s="209">
        <v>752392.9</v>
      </c>
      <c r="C12" s="209">
        <v>6717.7937499999998</v>
      </c>
      <c r="D12" s="209">
        <v>779330.57000000007</v>
      </c>
      <c r="E12" s="209">
        <v>6958.3086607142859</v>
      </c>
      <c r="G12" s="209" t="s">
        <v>22</v>
      </c>
      <c r="H12" s="209">
        <v>858438.48</v>
      </c>
      <c r="I12" s="209">
        <v>7337.0810256410259</v>
      </c>
      <c r="J12" s="209">
        <v>657021.74</v>
      </c>
      <c r="K12" s="209">
        <v>5615.5704273504271</v>
      </c>
      <c r="M12" s="209" t="s">
        <v>22</v>
      </c>
      <c r="N12" s="209">
        <f t="shared" si="0"/>
        <v>-106045.57999999996</v>
      </c>
      <c r="O12" s="209">
        <f t="shared" si="1"/>
        <v>-619.2872756410261</v>
      </c>
      <c r="P12" s="209">
        <f t="shared" si="2"/>
        <v>122308.83000000007</v>
      </c>
      <c r="Q12" s="209">
        <f t="shared" si="3"/>
        <v>1342.7382333638589</v>
      </c>
      <c r="S12" t="s">
        <v>842</v>
      </c>
      <c r="T12" s="207">
        <v>15</v>
      </c>
      <c r="U12" s="209">
        <f>N3+N5+N6+N8+N9+N12+N14+N20+N22+N30+N34+N35+N38+N39+N50</f>
        <v>-3783929.6699999981</v>
      </c>
    </row>
    <row r="13" spans="1:21" x14ac:dyDescent="0.25">
      <c r="A13" s="209" t="s">
        <v>21</v>
      </c>
      <c r="B13" s="209">
        <v>45615798.689999998</v>
      </c>
      <c r="C13" s="209">
        <v>6232.5179245798599</v>
      </c>
      <c r="D13" s="209">
        <v>29090469.219999999</v>
      </c>
      <c r="E13" s="209">
        <v>3974.650802022134</v>
      </c>
      <c r="G13" s="209" t="s">
        <v>21</v>
      </c>
      <c r="H13" s="209">
        <v>44141873.289999999</v>
      </c>
      <c r="I13" s="209">
        <v>6079.31046550062</v>
      </c>
      <c r="J13" s="209">
        <v>27130951.869999997</v>
      </c>
      <c r="K13" s="209">
        <v>3736.531038424459</v>
      </c>
      <c r="M13" s="209" t="s">
        <v>21</v>
      </c>
      <c r="N13" s="209">
        <f t="shared" si="0"/>
        <v>1473925.3999999985</v>
      </c>
      <c r="O13" s="209">
        <f t="shared" si="1"/>
        <v>153.20745907923992</v>
      </c>
      <c r="P13" s="209">
        <f t="shared" si="2"/>
        <v>1959517.3500000015</v>
      </c>
      <c r="Q13" s="209">
        <f t="shared" si="3"/>
        <v>238.11976359767505</v>
      </c>
      <c r="S13" t="s">
        <v>843</v>
      </c>
      <c r="T13" s="207">
        <v>5</v>
      </c>
      <c r="U13" s="209">
        <f>N31+N32+N36+N42+N21</f>
        <v>-3864821.9700000016</v>
      </c>
    </row>
    <row r="14" spans="1:21" x14ac:dyDescent="0.25">
      <c r="A14" s="209" t="s">
        <v>12</v>
      </c>
      <c r="B14" s="209">
        <v>2811349.0100000002</v>
      </c>
      <c r="C14" s="209">
        <v>5385.7260727969351</v>
      </c>
      <c r="D14" s="209">
        <v>1290983.73</v>
      </c>
      <c r="E14" s="209">
        <v>2473.1489080459769</v>
      </c>
      <c r="G14" s="209" t="s">
        <v>12</v>
      </c>
      <c r="H14" s="209">
        <v>3093787.24</v>
      </c>
      <c r="I14" s="209">
        <v>5750.5339033457258</v>
      </c>
      <c r="J14" s="209">
        <v>1159598.6799999997</v>
      </c>
      <c r="K14" s="209">
        <v>2155.3878810408914</v>
      </c>
      <c r="M14" s="209" t="s">
        <v>12</v>
      </c>
      <c r="N14" s="209">
        <f t="shared" si="0"/>
        <v>-282438.23</v>
      </c>
      <c r="O14" s="209">
        <f t="shared" si="1"/>
        <v>-364.80783054879066</v>
      </c>
      <c r="P14" s="209">
        <f t="shared" si="2"/>
        <v>131385.05000000028</v>
      </c>
      <c r="Q14" s="209">
        <f t="shared" si="3"/>
        <v>317.76102700508545</v>
      </c>
      <c r="S14" t="s">
        <v>844</v>
      </c>
      <c r="T14" s="207">
        <v>2</v>
      </c>
      <c r="U14" s="209">
        <f>N23+N24</f>
        <v>-4669209.9400000013</v>
      </c>
    </row>
    <row r="15" spans="1:21" x14ac:dyDescent="0.25">
      <c r="A15" s="209" t="s">
        <v>16</v>
      </c>
      <c r="B15" s="209">
        <v>472998.96</v>
      </c>
      <c r="C15" s="209">
        <v>4462.254339622642</v>
      </c>
      <c r="D15" s="209">
        <v>-17354.150000000023</v>
      </c>
      <c r="E15" s="209">
        <v>-163.71839622641531</v>
      </c>
      <c r="G15" s="209" t="s">
        <v>16</v>
      </c>
      <c r="H15" s="209">
        <v>497395.93</v>
      </c>
      <c r="I15" s="209">
        <v>4481.0444144144139</v>
      </c>
      <c r="J15" s="209">
        <v>41216.310000000056</v>
      </c>
      <c r="K15" s="209">
        <v>371.31810810810862</v>
      </c>
      <c r="M15" s="209" t="s">
        <v>16</v>
      </c>
      <c r="N15" s="209">
        <f t="shared" si="0"/>
        <v>-24396.969999999972</v>
      </c>
      <c r="O15" s="209">
        <f t="shared" si="1"/>
        <v>-18.790074791771985</v>
      </c>
      <c r="P15" s="209">
        <f t="shared" si="2"/>
        <v>-58570.460000000079</v>
      </c>
      <c r="Q15" s="209">
        <f t="shared" si="3"/>
        <v>-535.0365043345239</v>
      </c>
      <c r="S15" t="s">
        <v>845</v>
      </c>
      <c r="T15" s="207">
        <v>0</v>
      </c>
      <c r="U15" s="209">
        <v>0</v>
      </c>
    </row>
    <row r="16" spans="1:21" x14ac:dyDescent="0.25">
      <c r="A16" s="209" t="s">
        <v>42</v>
      </c>
      <c r="B16" s="209">
        <v>3177943.3000000003</v>
      </c>
      <c r="C16" s="209">
        <v>7477.5136470588241</v>
      </c>
      <c r="D16" s="209">
        <v>1642738.42</v>
      </c>
      <c r="E16" s="209">
        <v>3865.2668705882352</v>
      </c>
      <c r="G16" s="209" t="s">
        <v>42</v>
      </c>
      <c r="H16" s="209">
        <v>3083781.92</v>
      </c>
      <c r="I16" s="209">
        <v>7324.8976722090256</v>
      </c>
      <c r="J16" s="209">
        <v>1753942.15</v>
      </c>
      <c r="K16" s="209">
        <v>4166.1333729216149</v>
      </c>
      <c r="M16" s="209" t="s">
        <v>42</v>
      </c>
      <c r="N16" s="209">
        <f t="shared" si="0"/>
        <v>94161.380000000354</v>
      </c>
      <c r="O16" s="209">
        <f t="shared" si="1"/>
        <v>152.61597484979848</v>
      </c>
      <c r="P16" s="209">
        <f t="shared" si="2"/>
        <v>-111203.72999999998</v>
      </c>
      <c r="Q16" s="209">
        <f t="shared" si="3"/>
        <v>-300.86650233337969</v>
      </c>
      <c r="T16" s="207">
        <f>SUM(T11:T15)</f>
        <v>29</v>
      </c>
      <c r="U16" s="209">
        <f>SUM(U11:U15)</f>
        <v>-12715920.810000001</v>
      </c>
    </row>
    <row r="17" spans="1:21" x14ac:dyDescent="0.25">
      <c r="A17" s="209" t="s">
        <v>39</v>
      </c>
      <c r="B17" s="209">
        <v>4143084.9</v>
      </c>
      <c r="C17" s="209">
        <v>11837.385428571428</v>
      </c>
      <c r="D17" s="209">
        <v>1514124.1099999994</v>
      </c>
      <c r="E17" s="209">
        <v>4326.0688857142841</v>
      </c>
      <c r="G17" s="209" t="s">
        <v>39</v>
      </c>
      <c r="H17" s="209">
        <v>4101271.2100000004</v>
      </c>
      <c r="I17" s="209">
        <v>11853.385000000002</v>
      </c>
      <c r="J17" s="209">
        <v>1749151.4600000004</v>
      </c>
      <c r="K17" s="209">
        <v>5055.3510404624294</v>
      </c>
      <c r="M17" s="209" t="s">
        <v>39</v>
      </c>
      <c r="N17" s="209">
        <f t="shared" si="0"/>
        <v>41813.689999999478</v>
      </c>
      <c r="O17" s="209">
        <f t="shared" si="1"/>
        <v>-15.9995714285742</v>
      </c>
      <c r="P17" s="209">
        <f t="shared" si="2"/>
        <v>-235027.35000000102</v>
      </c>
      <c r="Q17" s="209">
        <f t="shared" si="3"/>
        <v>-729.28215474814533</v>
      </c>
    </row>
    <row r="18" spans="1:21" x14ac:dyDescent="0.25">
      <c r="A18" s="209" t="s">
        <v>30</v>
      </c>
      <c r="B18" s="209">
        <v>5163639.42</v>
      </c>
      <c r="C18" s="209">
        <v>7044.5285402455656</v>
      </c>
      <c r="D18" s="209">
        <v>-451715.36000000034</v>
      </c>
      <c r="E18" s="209">
        <v>-616.25560709413412</v>
      </c>
      <c r="G18" s="209" t="s">
        <v>30</v>
      </c>
      <c r="H18" s="209">
        <v>5096463.18</v>
      </c>
      <c r="I18" s="209">
        <v>7178.1171549295768</v>
      </c>
      <c r="J18" s="209">
        <v>-208385.76999999955</v>
      </c>
      <c r="K18" s="209">
        <v>-293.50108450704164</v>
      </c>
      <c r="M18" s="209" t="s">
        <v>30</v>
      </c>
      <c r="N18" s="209">
        <f t="shared" si="0"/>
        <v>67176.240000000224</v>
      </c>
      <c r="O18" s="209">
        <f t="shared" si="1"/>
        <v>-133.58861468401119</v>
      </c>
      <c r="P18" s="209">
        <f t="shared" si="2"/>
        <v>-243329.59000000078</v>
      </c>
      <c r="Q18" s="209">
        <f t="shared" si="3"/>
        <v>-322.75452258709248</v>
      </c>
      <c r="S18" s="4" t="s">
        <v>848</v>
      </c>
      <c r="T18" s="4"/>
      <c r="U18" s="210">
        <f>U8+U16</f>
        <v>23952174.419999965</v>
      </c>
    </row>
    <row r="19" spans="1:21" x14ac:dyDescent="0.25">
      <c r="A19" s="209" t="s">
        <v>11</v>
      </c>
      <c r="B19" s="209">
        <v>1238569.5</v>
      </c>
      <c r="C19" s="209">
        <v>4587.2944444444447</v>
      </c>
      <c r="D19" s="209">
        <v>448146.76</v>
      </c>
      <c r="E19" s="209">
        <v>1659.8028148148148</v>
      </c>
      <c r="G19" s="209" t="s">
        <v>11</v>
      </c>
      <c r="H19" s="209">
        <v>937461.24</v>
      </c>
      <c r="I19" s="209">
        <v>3484.9860223048327</v>
      </c>
      <c r="J19" s="209">
        <v>295523.71999999974</v>
      </c>
      <c r="K19" s="209">
        <v>1098.6011895910772</v>
      </c>
      <c r="M19" s="209" t="s">
        <v>11</v>
      </c>
      <c r="N19" s="209">
        <f t="shared" si="0"/>
        <v>301108.26</v>
      </c>
      <c r="O19" s="209">
        <f t="shared" si="1"/>
        <v>1102.308422139612</v>
      </c>
      <c r="P19" s="209">
        <f t="shared" si="2"/>
        <v>152623.04000000027</v>
      </c>
      <c r="Q19" s="209">
        <f t="shared" si="3"/>
        <v>561.20162522373766</v>
      </c>
    </row>
    <row r="20" spans="1:21" x14ac:dyDescent="0.25">
      <c r="A20" s="209" t="s">
        <v>58</v>
      </c>
      <c r="B20" s="209">
        <v>3504832.67</v>
      </c>
      <c r="C20" s="209">
        <v>8404.8745083932845</v>
      </c>
      <c r="D20" s="209">
        <v>1914576.7699999998</v>
      </c>
      <c r="E20" s="209">
        <v>4591.311199040767</v>
      </c>
      <c r="G20" s="209" t="s">
        <v>58</v>
      </c>
      <c r="H20" s="209">
        <v>3792930.42</v>
      </c>
      <c r="I20" s="209">
        <v>8620.2964090909081</v>
      </c>
      <c r="J20" s="209">
        <v>1952635.5100000002</v>
      </c>
      <c r="K20" s="209">
        <v>4437.8079772727278</v>
      </c>
      <c r="M20" s="209" t="s">
        <v>58</v>
      </c>
      <c r="N20" s="209">
        <f t="shared" si="0"/>
        <v>-288097.75</v>
      </c>
      <c r="O20" s="209">
        <f t="shared" si="1"/>
        <v>-215.42190069762364</v>
      </c>
      <c r="P20" s="209">
        <f t="shared" si="2"/>
        <v>-38058.740000000456</v>
      </c>
      <c r="Q20" s="209">
        <f t="shared" si="3"/>
        <v>153.50322176803911</v>
      </c>
    </row>
    <row r="21" spans="1:21" x14ac:dyDescent="0.25">
      <c r="A21" s="209" t="s">
        <v>26</v>
      </c>
      <c r="B21" s="209">
        <v>15800389.75</v>
      </c>
      <c r="C21" s="209">
        <v>4809.8598934550992</v>
      </c>
      <c r="D21" s="209">
        <v>11431295.439999999</v>
      </c>
      <c r="E21" s="209">
        <v>3479.8464048706237</v>
      </c>
      <c r="G21" s="209" t="s">
        <v>26</v>
      </c>
      <c r="H21" s="209">
        <v>16447939.57</v>
      </c>
      <c r="I21" s="209">
        <v>5093.818386497368</v>
      </c>
      <c r="J21" s="209">
        <v>10826918.77</v>
      </c>
      <c r="K21" s="209">
        <v>3353.0253236296066</v>
      </c>
      <c r="M21" s="209" t="s">
        <v>26</v>
      </c>
      <c r="N21" s="209">
        <f t="shared" si="0"/>
        <v>-647549.8200000003</v>
      </c>
      <c r="O21" s="209">
        <f t="shared" si="1"/>
        <v>-283.95849304226886</v>
      </c>
      <c r="P21" s="209">
        <f t="shared" si="2"/>
        <v>604376.66999999993</v>
      </c>
      <c r="Q21" s="209">
        <f t="shared" si="3"/>
        <v>126.82108124101705</v>
      </c>
    </row>
    <row r="22" spans="1:21" x14ac:dyDescent="0.25">
      <c r="A22" s="209" t="s">
        <v>29</v>
      </c>
      <c r="B22" s="209">
        <v>484046.2</v>
      </c>
      <c r="C22" s="209">
        <v>1571.5785714285714</v>
      </c>
      <c r="D22" s="209">
        <v>-1095128.52</v>
      </c>
      <c r="E22" s="209">
        <v>-3555.6120779220778</v>
      </c>
      <c r="G22" s="209" t="s">
        <v>29</v>
      </c>
      <c r="H22" s="209">
        <v>602341.19999999995</v>
      </c>
      <c r="I22" s="209">
        <v>1943.0361290322578</v>
      </c>
      <c r="J22" s="209">
        <v>-1258764.1999999997</v>
      </c>
      <c r="K22" s="209">
        <v>-4060.5296774193539</v>
      </c>
      <c r="M22" s="209" t="s">
        <v>29</v>
      </c>
      <c r="N22" s="209">
        <f t="shared" si="0"/>
        <v>-118294.99999999994</v>
      </c>
      <c r="O22" s="209">
        <f t="shared" si="1"/>
        <v>-371.45755760368638</v>
      </c>
      <c r="P22" s="209">
        <f t="shared" si="2"/>
        <v>163635.6799999997</v>
      </c>
      <c r="Q22" s="209">
        <f t="shared" si="3"/>
        <v>504.91759949727611</v>
      </c>
    </row>
    <row r="23" spans="1:21" x14ac:dyDescent="0.25">
      <c r="A23" s="209" t="s">
        <v>19</v>
      </c>
      <c r="B23" s="209">
        <v>9591959.379999999</v>
      </c>
      <c r="C23" s="209">
        <v>7624.7689825119232</v>
      </c>
      <c r="D23" s="209">
        <v>5704163.3599999994</v>
      </c>
      <c r="E23" s="209">
        <v>4534.3110969793315</v>
      </c>
      <c r="G23" s="209" t="s">
        <v>19</v>
      </c>
      <c r="H23" s="209">
        <v>10692583.640000001</v>
      </c>
      <c r="I23" s="209">
        <v>8419.3571968503948</v>
      </c>
      <c r="J23" s="209">
        <v>6440242.9599999981</v>
      </c>
      <c r="K23" s="209">
        <v>5071.0574488188959</v>
      </c>
      <c r="M23" s="209" t="s">
        <v>19</v>
      </c>
      <c r="N23" s="209">
        <f t="shared" si="0"/>
        <v>-1100624.2600000016</v>
      </c>
      <c r="O23" s="209">
        <f t="shared" si="1"/>
        <v>-794.58821433847152</v>
      </c>
      <c r="P23" s="209">
        <f t="shared" si="2"/>
        <v>-736079.5999999987</v>
      </c>
      <c r="Q23" s="209">
        <f t="shared" si="3"/>
        <v>-536.74635183956434</v>
      </c>
    </row>
    <row r="24" spans="1:21" x14ac:dyDescent="0.25">
      <c r="A24" s="209" t="s">
        <v>44</v>
      </c>
      <c r="B24" s="209">
        <v>4910683.17</v>
      </c>
      <c r="C24" s="209">
        <v>3222.2330511811024</v>
      </c>
      <c r="D24" s="209">
        <v>-13726562.160000002</v>
      </c>
      <c r="E24" s="209">
        <v>-9006.9305511811035</v>
      </c>
      <c r="G24" s="209" t="s">
        <v>44</v>
      </c>
      <c r="H24" s="209">
        <v>8479268.8499999996</v>
      </c>
      <c r="I24" s="209">
        <v>5630.3246015936256</v>
      </c>
      <c r="J24" s="209">
        <v>-10380295.779999997</v>
      </c>
      <c r="K24" s="209">
        <v>-6892.6266799468776</v>
      </c>
      <c r="M24" s="209" t="s">
        <v>44</v>
      </c>
      <c r="N24" s="209">
        <f t="shared" si="0"/>
        <v>-3568585.6799999997</v>
      </c>
      <c r="O24" s="209">
        <f t="shared" si="1"/>
        <v>-2408.0915504125232</v>
      </c>
      <c r="P24" s="209">
        <f t="shared" si="2"/>
        <v>-3346266.3800000045</v>
      </c>
      <c r="Q24" s="209">
        <f t="shared" si="3"/>
        <v>-2114.3038712342259</v>
      </c>
    </row>
    <row r="25" spans="1:21" x14ac:dyDescent="0.25">
      <c r="A25" s="209" t="s">
        <v>70</v>
      </c>
      <c r="B25" s="209">
        <v>1134572.45</v>
      </c>
      <c r="C25" s="209">
        <v>13041.06264367816</v>
      </c>
      <c r="D25" s="209">
        <v>89722.550000000047</v>
      </c>
      <c r="E25" s="209">
        <v>1031.2936781609201</v>
      </c>
      <c r="G25" s="209" t="s">
        <v>70</v>
      </c>
      <c r="H25" s="209">
        <v>835119.4</v>
      </c>
      <c r="I25" s="209">
        <v>8699.1604166666675</v>
      </c>
      <c r="J25" s="209">
        <v>74018.899999999907</v>
      </c>
      <c r="K25" s="209">
        <v>771.03020833333233</v>
      </c>
      <c r="M25" s="209" t="s">
        <v>70</v>
      </c>
      <c r="N25" s="209">
        <f t="shared" si="0"/>
        <v>299453.04999999993</v>
      </c>
      <c r="O25" s="209">
        <f t="shared" si="1"/>
        <v>4341.9022270114929</v>
      </c>
      <c r="P25" s="209">
        <f t="shared" si="2"/>
        <v>15703.65000000014</v>
      </c>
      <c r="Q25" s="209">
        <f t="shared" si="3"/>
        <v>260.26346982758776</v>
      </c>
    </row>
    <row r="26" spans="1:21" x14ac:dyDescent="0.25">
      <c r="A26" s="209" t="s">
        <v>38</v>
      </c>
      <c r="B26" s="209">
        <v>1304927.81</v>
      </c>
      <c r="C26" s="209">
        <v>8364.9218589743596</v>
      </c>
      <c r="D26" s="209">
        <v>-211024.80999999982</v>
      </c>
      <c r="E26" s="209">
        <v>-1352.72314102564</v>
      </c>
      <c r="G26" s="209" t="s">
        <v>38</v>
      </c>
      <c r="H26" s="209">
        <v>1218430.55</v>
      </c>
      <c r="I26" s="209">
        <v>8232.6388513513521</v>
      </c>
      <c r="J26" s="209">
        <v>-323523.36999999988</v>
      </c>
      <c r="K26" s="209">
        <v>-2185.9687162162154</v>
      </c>
      <c r="M26" s="209" t="s">
        <v>38</v>
      </c>
      <c r="N26" s="209">
        <f t="shared" si="0"/>
        <v>86497.260000000009</v>
      </c>
      <c r="O26" s="209">
        <f t="shared" si="1"/>
        <v>132.28300762300751</v>
      </c>
      <c r="P26" s="209">
        <f t="shared" si="2"/>
        <v>112498.56000000006</v>
      </c>
      <c r="Q26" s="209">
        <f t="shared" si="3"/>
        <v>833.24557519057544</v>
      </c>
    </row>
    <row r="27" spans="1:21" x14ac:dyDescent="0.25">
      <c r="A27" s="209" t="s">
        <v>18</v>
      </c>
      <c r="B27" s="209">
        <v>4608813.3499999996</v>
      </c>
      <c r="C27" s="209">
        <v>9036.8889215686268</v>
      </c>
      <c r="D27" s="209">
        <v>1427041.8800000008</v>
      </c>
      <c r="E27" s="209">
        <v>2798.1213333333349</v>
      </c>
      <c r="G27" s="209" t="s">
        <v>18</v>
      </c>
      <c r="H27" s="209">
        <v>4296735.43</v>
      </c>
      <c r="I27" s="209">
        <v>8294.8560424710413</v>
      </c>
      <c r="J27" s="209">
        <v>1349453.5100000002</v>
      </c>
      <c r="K27" s="209">
        <v>2605.1226061776065</v>
      </c>
      <c r="M27" s="209" t="s">
        <v>18</v>
      </c>
      <c r="N27" s="209">
        <f t="shared" si="0"/>
        <v>312077.91999999993</v>
      </c>
      <c r="O27" s="209">
        <f t="shared" si="1"/>
        <v>742.03287909758546</v>
      </c>
      <c r="P27" s="209">
        <f t="shared" si="2"/>
        <v>77588.370000000577</v>
      </c>
      <c r="Q27" s="209">
        <f t="shared" si="3"/>
        <v>192.99872715572837</v>
      </c>
    </row>
    <row r="28" spans="1:21" x14ac:dyDescent="0.25">
      <c r="A28" s="209" t="s">
        <v>40</v>
      </c>
      <c r="B28" s="209">
        <v>7610270.8499999996</v>
      </c>
      <c r="C28" s="209">
        <v>10794.710425531914</v>
      </c>
      <c r="D28" s="209">
        <v>5732641.0899999999</v>
      </c>
      <c r="E28" s="209">
        <v>8131.4058014184393</v>
      </c>
      <c r="G28" s="209" t="s">
        <v>40</v>
      </c>
      <c r="H28" s="209">
        <v>7161605.1599999992</v>
      </c>
      <c r="I28" s="209">
        <v>10216.269843081311</v>
      </c>
      <c r="J28" s="209">
        <v>4615930.29</v>
      </c>
      <c r="K28" s="209">
        <v>6584.7793009985735</v>
      </c>
      <c r="M28" s="209" t="s">
        <v>40</v>
      </c>
      <c r="N28" s="209">
        <f t="shared" si="0"/>
        <v>448665.69000000041</v>
      </c>
      <c r="O28" s="209">
        <f t="shared" si="1"/>
        <v>578.44058245060296</v>
      </c>
      <c r="P28" s="209">
        <f t="shared" si="2"/>
        <v>1116710.7999999998</v>
      </c>
      <c r="Q28" s="209">
        <f t="shared" si="3"/>
        <v>1546.6265004198658</v>
      </c>
    </row>
    <row r="29" spans="1:21" x14ac:dyDescent="0.25">
      <c r="A29" s="209" t="s">
        <v>35</v>
      </c>
      <c r="B29" s="209">
        <v>3903441.63</v>
      </c>
      <c r="C29" s="209">
        <v>7084.286079854809</v>
      </c>
      <c r="D29" s="209">
        <v>2011074.1099999999</v>
      </c>
      <c r="E29" s="209">
        <v>3649.8622686025406</v>
      </c>
      <c r="G29" s="209" t="s">
        <v>35</v>
      </c>
      <c r="H29" s="209">
        <v>3750609.31</v>
      </c>
      <c r="I29" s="209">
        <v>6650.0165070921985</v>
      </c>
      <c r="J29" s="209">
        <v>1426544.4699999997</v>
      </c>
      <c r="K29" s="209">
        <v>2529.3341666666661</v>
      </c>
      <c r="M29" s="209" t="s">
        <v>35</v>
      </c>
      <c r="N29" s="209">
        <f t="shared" si="0"/>
        <v>152832.31999999983</v>
      </c>
      <c r="O29" s="209">
        <f t="shared" si="1"/>
        <v>434.26957276261055</v>
      </c>
      <c r="P29" s="209">
        <f t="shared" si="2"/>
        <v>584529.64000000013</v>
      </c>
      <c r="Q29" s="209">
        <f t="shared" si="3"/>
        <v>1120.5281019358745</v>
      </c>
    </row>
    <row r="30" spans="1:21" x14ac:dyDescent="0.25">
      <c r="A30" s="209" t="s">
        <v>7</v>
      </c>
      <c r="B30" s="209">
        <v>972078.66999999993</v>
      </c>
      <c r="C30" s="209">
        <v>1902.3065949119373</v>
      </c>
      <c r="D30" s="209">
        <v>-2267097.36</v>
      </c>
      <c r="E30" s="209">
        <v>-4436.5897455968689</v>
      </c>
      <c r="G30" s="209" t="s">
        <v>7</v>
      </c>
      <c r="H30" s="209">
        <v>1159077.93</v>
      </c>
      <c r="I30" s="209">
        <v>2207.7674857142856</v>
      </c>
      <c r="J30" s="209">
        <v>-2814009.3600000003</v>
      </c>
      <c r="K30" s="209">
        <v>-5360.0178285714292</v>
      </c>
      <c r="M30" s="209" t="s">
        <v>7</v>
      </c>
      <c r="N30" s="209">
        <f t="shared" si="0"/>
        <v>-186999.26</v>
      </c>
      <c r="O30" s="209">
        <f t="shared" si="1"/>
        <v>-305.46089080234833</v>
      </c>
      <c r="P30" s="209">
        <f t="shared" si="2"/>
        <v>546912.00000000047</v>
      </c>
      <c r="Q30" s="209">
        <f t="shared" si="3"/>
        <v>923.42808297456031</v>
      </c>
    </row>
    <row r="31" spans="1:21" x14ac:dyDescent="0.25">
      <c r="A31" s="209" t="s">
        <v>54</v>
      </c>
      <c r="B31" s="209">
        <v>5453381.3700000001</v>
      </c>
      <c r="C31" s="209">
        <v>2867.1826340694006</v>
      </c>
      <c r="D31" s="209">
        <v>-2397710.830000001</v>
      </c>
      <c r="E31" s="209">
        <v>-1260.6260935856999</v>
      </c>
      <c r="G31" s="209" t="s">
        <v>54</v>
      </c>
      <c r="H31" s="209">
        <v>6404302.0600000005</v>
      </c>
      <c r="I31" s="209">
        <v>3354.7941644840234</v>
      </c>
      <c r="J31" s="209">
        <v>-1433431.5900000008</v>
      </c>
      <c r="K31" s="209">
        <v>-750.88087480356251</v>
      </c>
      <c r="M31" s="209" t="s">
        <v>54</v>
      </c>
      <c r="N31" s="209">
        <f t="shared" si="0"/>
        <v>-950920.69000000041</v>
      </c>
      <c r="O31" s="209">
        <f t="shared" si="1"/>
        <v>-487.61153041462285</v>
      </c>
      <c r="P31" s="209">
        <f t="shared" si="2"/>
        <v>-964279.24000000022</v>
      </c>
      <c r="Q31" s="209">
        <f t="shared" si="3"/>
        <v>-509.74521878213739</v>
      </c>
    </row>
    <row r="32" spans="1:21" x14ac:dyDescent="0.25">
      <c r="A32" s="209" t="s">
        <v>20</v>
      </c>
      <c r="B32" s="209">
        <v>16154715.800000001</v>
      </c>
      <c r="C32" s="209">
        <v>6273.6760388349521</v>
      </c>
      <c r="D32" s="209">
        <v>7074721.7599999998</v>
      </c>
      <c r="E32" s="209">
        <v>2747.4647611650485</v>
      </c>
      <c r="G32" s="209" t="s">
        <v>20</v>
      </c>
      <c r="H32" s="209">
        <v>16877793.98</v>
      </c>
      <c r="I32" s="209">
        <v>6541.7806124031013</v>
      </c>
      <c r="J32" s="209">
        <v>8313209.2300000023</v>
      </c>
      <c r="K32" s="209">
        <v>3222.1741201550399</v>
      </c>
      <c r="M32" s="209" t="s">
        <v>20</v>
      </c>
      <c r="N32" s="209">
        <f t="shared" si="0"/>
        <v>-723078.1799999997</v>
      </c>
      <c r="O32" s="209">
        <f t="shared" si="1"/>
        <v>-268.10457356814914</v>
      </c>
      <c r="P32" s="209">
        <f t="shared" si="2"/>
        <v>-1238487.4700000025</v>
      </c>
      <c r="Q32" s="209">
        <f t="shared" si="3"/>
        <v>-474.70935898999142</v>
      </c>
    </row>
    <row r="33" spans="1:17" x14ac:dyDescent="0.25">
      <c r="A33" s="209" t="s">
        <v>6</v>
      </c>
      <c r="B33" s="209">
        <v>1609645.3</v>
      </c>
      <c r="C33" s="209">
        <v>7059.8478070175443</v>
      </c>
      <c r="D33" s="209">
        <v>-234773.74</v>
      </c>
      <c r="E33" s="209">
        <v>-1029.7093859649121</v>
      </c>
      <c r="G33" s="209" t="s">
        <v>6</v>
      </c>
      <c r="H33" s="209">
        <v>1682030.3399999999</v>
      </c>
      <c r="I33" s="209">
        <v>7576.7132432432427</v>
      </c>
      <c r="J33" s="209">
        <v>-88268.129999999655</v>
      </c>
      <c r="K33" s="209">
        <v>-397.60418918918765</v>
      </c>
      <c r="M33" s="209" t="s">
        <v>6</v>
      </c>
      <c r="N33" s="209">
        <f t="shared" si="0"/>
        <v>-72385.039999999804</v>
      </c>
      <c r="O33" s="209">
        <f t="shared" si="1"/>
        <v>-516.86543622569843</v>
      </c>
      <c r="P33" s="209">
        <f t="shared" si="2"/>
        <v>-146505.61000000034</v>
      </c>
      <c r="Q33" s="209">
        <f t="shared" si="3"/>
        <v>-632.10519677572449</v>
      </c>
    </row>
    <row r="34" spans="1:17" x14ac:dyDescent="0.25">
      <c r="A34" s="209" t="s">
        <v>33</v>
      </c>
      <c r="B34" s="209">
        <v>863363.16</v>
      </c>
      <c r="C34" s="209">
        <v>7316.6369491525429</v>
      </c>
      <c r="D34" s="209">
        <v>-1178728.1100000001</v>
      </c>
      <c r="E34" s="209">
        <v>-9989.2212711864413</v>
      </c>
      <c r="G34" s="209" t="s">
        <v>33</v>
      </c>
      <c r="H34" s="209">
        <v>1032153.5</v>
      </c>
      <c r="I34" s="209">
        <v>8001.1899224806202</v>
      </c>
      <c r="J34" s="209">
        <v>-1005628.19</v>
      </c>
      <c r="K34" s="209">
        <v>-7795.5673643410846</v>
      </c>
      <c r="M34" s="209" t="s">
        <v>33</v>
      </c>
      <c r="N34" s="209">
        <f t="shared" si="0"/>
        <v>-168790.33999999997</v>
      </c>
      <c r="O34" s="209">
        <f t="shared" si="1"/>
        <v>-684.55297332807731</v>
      </c>
      <c r="P34" s="209">
        <f t="shared" si="2"/>
        <v>-173099.92000000016</v>
      </c>
      <c r="Q34" s="209">
        <f t="shared" si="3"/>
        <v>-2193.6539068453567</v>
      </c>
    </row>
    <row r="35" spans="1:17" x14ac:dyDescent="0.25">
      <c r="A35" s="209" t="s">
        <v>51</v>
      </c>
      <c r="B35" s="209">
        <v>17609687.100000001</v>
      </c>
      <c r="C35" s="209">
        <v>9356.9006907545172</v>
      </c>
      <c r="D35" s="209">
        <v>11642148.41</v>
      </c>
      <c r="E35" s="209">
        <v>6186.0512274176408</v>
      </c>
      <c r="G35" s="209" t="s">
        <v>51</v>
      </c>
      <c r="H35" s="209">
        <v>18004708.100000001</v>
      </c>
      <c r="I35" s="209">
        <v>9521.2628767847709</v>
      </c>
      <c r="J35" s="209">
        <v>12776514.859999999</v>
      </c>
      <c r="K35" s="209">
        <v>6756.4859122157586</v>
      </c>
      <c r="M35" s="209" t="s">
        <v>51</v>
      </c>
      <c r="N35" s="209">
        <f t="shared" si="0"/>
        <v>-395021</v>
      </c>
      <c r="O35" s="209">
        <f t="shared" si="1"/>
        <v>-164.36218603025372</v>
      </c>
      <c r="P35" s="209">
        <f t="shared" si="2"/>
        <v>-1134366.4499999993</v>
      </c>
      <c r="Q35" s="209">
        <f t="shared" si="3"/>
        <v>-570.43468479811781</v>
      </c>
    </row>
    <row r="36" spans="1:17" x14ac:dyDescent="0.25">
      <c r="A36" s="209" t="s">
        <v>13</v>
      </c>
      <c r="B36" s="209">
        <v>8847212.5500000007</v>
      </c>
      <c r="C36" s="209">
        <v>7941.8425044883306</v>
      </c>
      <c r="D36" s="209">
        <v>3685339.5900000008</v>
      </c>
      <c r="E36" s="209">
        <v>3308.2042998204674</v>
      </c>
      <c r="G36" s="209" t="s">
        <v>13</v>
      </c>
      <c r="H36" s="209">
        <v>9560475.8900000006</v>
      </c>
      <c r="I36" s="209">
        <v>8490.6535435168753</v>
      </c>
      <c r="J36" s="209">
        <v>4295688.8199999994</v>
      </c>
      <c r="K36" s="209">
        <v>3814.9989520426284</v>
      </c>
      <c r="M36" s="209" t="s">
        <v>13</v>
      </c>
      <c r="N36" s="209">
        <f t="shared" si="0"/>
        <v>-713263.33999999985</v>
      </c>
      <c r="O36" s="209">
        <f t="shared" si="1"/>
        <v>-548.81103902854466</v>
      </c>
      <c r="P36" s="209">
        <f t="shared" si="2"/>
        <v>-610349.22999999858</v>
      </c>
      <c r="Q36" s="209">
        <f t="shared" si="3"/>
        <v>-506.79465222216095</v>
      </c>
    </row>
    <row r="37" spans="1:17" x14ac:dyDescent="0.25">
      <c r="A37" s="209" t="s">
        <v>31</v>
      </c>
      <c r="B37" s="209">
        <v>11590493.5</v>
      </c>
      <c r="C37" s="209">
        <v>9523.8237469186515</v>
      </c>
      <c r="D37" s="209">
        <v>6512358.330000001</v>
      </c>
      <c r="E37" s="209">
        <v>5351.1572144617921</v>
      </c>
      <c r="G37" s="209" t="s">
        <v>31</v>
      </c>
      <c r="H37" s="209">
        <v>11290231.99</v>
      </c>
      <c r="I37" s="209">
        <v>9216.5159102040816</v>
      </c>
      <c r="J37" s="209">
        <v>6419097.7300000004</v>
      </c>
      <c r="K37" s="209">
        <v>5240.079779591837</v>
      </c>
      <c r="M37" s="209" t="s">
        <v>31</v>
      </c>
      <c r="N37" s="209">
        <f t="shared" si="0"/>
        <v>300261.50999999978</v>
      </c>
      <c r="O37" s="209">
        <f t="shared" si="1"/>
        <v>307.30783671456993</v>
      </c>
      <c r="P37" s="209">
        <f t="shared" si="2"/>
        <v>93260.600000000559</v>
      </c>
      <c r="Q37" s="209">
        <f t="shared" si="3"/>
        <v>111.07743486995514</v>
      </c>
    </row>
    <row r="38" spans="1:17" x14ac:dyDescent="0.25">
      <c r="A38" s="209" t="s">
        <v>28</v>
      </c>
      <c r="B38" s="209">
        <v>1403451.52</v>
      </c>
      <c r="C38" s="209">
        <v>11995.312136752136</v>
      </c>
      <c r="D38" s="209">
        <v>-81076.300000000047</v>
      </c>
      <c r="E38" s="209">
        <v>-692.95982905982942</v>
      </c>
      <c r="G38" s="209" t="s">
        <v>28</v>
      </c>
      <c r="H38" s="209">
        <v>1609835.59</v>
      </c>
      <c r="I38" s="209">
        <v>13759.278547008547</v>
      </c>
      <c r="J38" s="209">
        <v>-68973.139999999898</v>
      </c>
      <c r="K38" s="209">
        <v>-589.51401709401625</v>
      </c>
      <c r="M38" s="209" t="s">
        <v>28</v>
      </c>
      <c r="N38" s="209">
        <f t="shared" si="0"/>
        <v>-206384.07000000007</v>
      </c>
      <c r="O38" s="209">
        <f t="shared" si="1"/>
        <v>-1763.9664102564111</v>
      </c>
      <c r="P38" s="209">
        <f t="shared" si="2"/>
        <v>-12103.160000000149</v>
      </c>
      <c r="Q38" s="209">
        <f t="shared" si="3"/>
        <v>-103.44581196581316</v>
      </c>
    </row>
    <row r="39" spans="1:17" x14ac:dyDescent="0.25">
      <c r="A39" s="209" t="s">
        <v>25</v>
      </c>
      <c r="B39" s="209">
        <v>8994469.7599999998</v>
      </c>
      <c r="C39" s="209">
        <v>7464.2902572614103</v>
      </c>
      <c r="D39" s="209">
        <v>-5341469.129999999</v>
      </c>
      <c r="E39" s="209">
        <v>-4432.7544647302893</v>
      </c>
      <c r="G39" s="209" t="s">
        <v>25</v>
      </c>
      <c r="H39" s="209">
        <v>9467167.8599999994</v>
      </c>
      <c r="I39" s="209">
        <v>7989.1711898734175</v>
      </c>
      <c r="J39" s="209">
        <v>-4253300.6399999987</v>
      </c>
      <c r="K39" s="209">
        <v>-3589.2832405063282</v>
      </c>
      <c r="M39" s="209" t="s">
        <v>25</v>
      </c>
      <c r="N39" s="209">
        <f t="shared" si="0"/>
        <v>-472698.09999999963</v>
      </c>
      <c r="O39" s="209">
        <f t="shared" si="1"/>
        <v>-524.8809326120072</v>
      </c>
      <c r="P39" s="209">
        <f t="shared" si="2"/>
        <v>-1088168.4900000002</v>
      </c>
      <c r="Q39" s="209">
        <f t="shared" si="3"/>
        <v>-843.47122422396114</v>
      </c>
    </row>
    <row r="40" spans="1:17" x14ac:dyDescent="0.25">
      <c r="A40" s="209" t="s">
        <v>47</v>
      </c>
      <c r="B40" s="209">
        <v>5282352.57</v>
      </c>
      <c r="C40" s="209">
        <v>8451.7641120000008</v>
      </c>
      <c r="D40" s="209">
        <v>1986975.6799999997</v>
      </c>
      <c r="E40" s="209">
        <v>3179.1610879999994</v>
      </c>
      <c r="G40" s="209" t="s">
        <v>47</v>
      </c>
      <c r="H40" s="209">
        <v>5060879.72</v>
      </c>
      <c r="I40" s="209">
        <v>7882.9902180685358</v>
      </c>
      <c r="J40" s="209">
        <v>1394899.9899999998</v>
      </c>
      <c r="K40" s="209">
        <v>2172.7414174454825</v>
      </c>
      <c r="M40" s="209" t="s">
        <v>47</v>
      </c>
      <c r="N40" s="209">
        <f t="shared" si="0"/>
        <v>221472.85000000056</v>
      </c>
      <c r="O40" s="209">
        <f t="shared" si="1"/>
        <v>568.77389393146495</v>
      </c>
      <c r="P40" s="209">
        <f t="shared" si="2"/>
        <v>592075.68999999994</v>
      </c>
      <c r="Q40" s="209">
        <f t="shared" si="3"/>
        <v>1006.4196705545169</v>
      </c>
    </row>
    <row r="41" spans="1:17" x14ac:dyDescent="0.25">
      <c r="A41" s="209" t="s">
        <v>43</v>
      </c>
      <c r="B41" s="209">
        <v>4714240.3000000007</v>
      </c>
      <c r="C41" s="209">
        <v>7471.0622820919189</v>
      </c>
      <c r="D41" s="209">
        <v>2313637.5000000005</v>
      </c>
      <c r="E41" s="209">
        <v>3666.6204437400957</v>
      </c>
      <c r="G41" s="209" t="s">
        <v>43</v>
      </c>
      <c r="H41" s="209">
        <v>4084166.64</v>
      </c>
      <c r="I41" s="209">
        <v>6452.08</v>
      </c>
      <c r="J41" s="209">
        <v>1260354.7200000002</v>
      </c>
      <c r="K41" s="209">
        <v>1991.0817061611378</v>
      </c>
      <c r="M41" s="209" t="s">
        <v>43</v>
      </c>
      <c r="N41" s="209">
        <f t="shared" si="0"/>
        <v>630073.66000000061</v>
      </c>
      <c r="O41" s="209">
        <f t="shared" si="1"/>
        <v>1018.9822820919189</v>
      </c>
      <c r="P41" s="209">
        <f t="shared" si="2"/>
        <v>1053282.7800000003</v>
      </c>
      <c r="Q41" s="209">
        <f t="shared" si="3"/>
        <v>1675.5387375789578</v>
      </c>
    </row>
    <row r="42" spans="1:17" x14ac:dyDescent="0.25">
      <c r="A42" s="209" t="s">
        <v>36</v>
      </c>
      <c r="B42" s="209">
        <v>10428533.609999999</v>
      </c>
      <c r="C42" s="209">
        <v>8179.2420470588231</v>
      </c>
      <c r="D42" s="209">
        <v>474934.74999999814</v>
      </c>
      <c r="E42" s="209">
        <v>372.49784313725343</v>
      </c>
      <c r="G42" s="209" t="s">
        <v>36</v>
      </c>
      <c r="H42" s="209">
        <v>11258543.550000001</v>
      </c>
      <c r="I42" s="209">
        <v>8768.3360981308415</v>
      </c>
      <c r="J42" s="209">
        <v>-309867.80999999866</v>
      </c>
      <c r="K42" s="209">
        <v>-241.3300700934569</v>
      </c>
      <c r="M42" s="209" t="s">
        <v>36</v>
      </c>
      <c r="N42" s="209">
        <f t="shared" si="0"/>
        <v>-830009.94000000134</v>
      </c>
      <c r="O42" s="209">
        <f t="shared" si="1"/>
        <v>-589.09405107201837</v>
      </c>
      <c r="P42" s="209">
        <f t="shared" si="2"/>
        <v>784802.5599999968</v>
      </c>
      <c r="Q42" s="209">
        <f t="shared" si="3"/>
        <v>613.82791323071035</v>
      </c>
    </row>
    <row r="43" spans="1:17" x14ac:dyDescent="0.25">
      <c r="A43" s="209" t="s">
        <v>50</v>
      </c>
      <c r="B43" s="209">
        <v>5638389.4799999995</v>
      </c>
      <c r="C43" s="209">
        <v>7852.9101392757657</v>
      </c>
      <c r="D43" s="209">
        <v>3098658.07</v>
      </c>
      <c r="E43" s="209">
        <v>4315.6797632311973</v>
      </c>
      <c r="G43" s="209" t="s">
        <v>50</v>
      </c>
      <c r="H43" s="209">
        <v>5676255.4499999993</v>
      </c>
      <c r="I43" s="209">
        <v>7765.055335157318</v>
      </c>
      <c r="J43" s="209">
        <v>3086864.3399999994</v>
      </c>
      <c r="K43" s="209">
        <v>4222.796634746921</v>
      </c>
      <c r="M43" s="209" t="s">
        <v>50</v>
      </c>
      <c r="N43" s="209">
        <f t="shared" si="0"/>
        <v>-37865.969999999739</v>
      </c>
      <c r="O43" s="209">
        <f t="shared" si="1"/>
        <v>87.854804118447646</v>
      </c>
      <c r="P43" s="209">
        <f t="shared" si="2"/>
        <v>11793.730000000447</v>
      </c>
      <c r="Q43" s="209">
        <f t="shared" si="3"/>
        <v>92.883128484276313</v>
      </c>
    </row>
    <row r="44" spans="1:17" x14ac:dyDescent="0.25">
      <c r="A44" s="209" t="s">
        <v>8</v>
      </c>
      <c r="B44" s="209">
        <v>9570422.3900000006</v>
      </c>
      <c r="C44" s="209">
        <v>9401.2007760314355</v>
      </c>
      <c r="D44" s="209">
        <v>5842659.1600000001</v>
      </c>
      <c r="E44" s="209">
        <v>5739.3508447937129</v>
      </c>
      <c r="G44" s="209" t="s">
        <v>8</v>
      </c>
      <c r="H44" s="209">
        <v>8931872.6600000001</v>
      </c>
      <c r="I44" s="209">
        <v>8791.2132480314958</v>
      </c>
      <c r="J44" s="209">
        <v>5096750.43</v>
      </c>
      <c r="K44" s="209">
        <v>5016.4866437007868</v>
      </c>
      <c r="M44" s="209" t="s">
        <v>8</v>
      </c>
      <c r="N44" s="209">
        <f t="shared" si="0"/>
        <v>638549.73000000045</v>
      </c>
      <c r="O44" s="209">
        <f t="shared" si="1"/>
        <v>609.98752799993963</v>
      </c>
      <c r="P44" s="209">
        <f t="shared" si="2"/>
        <v>745908.73000000045</v>
      </c>
      <c r="Q44" s="209">
        <f t="shared" si="3"/>
        <v>722.86420109292612</v>
      </c>
    </row>
    <row r="45" spans="1:17" x14ac:dyDescent="0.25">
      <c r="A45" s="209" t="s">
        <v>23</v>
      </c>
      <c r="B45" s="209">
        <v>1892477.35</v>
      </c>
      <c r="C45" s="209">
        <v>6458.9670648464171</v>
      </c>
      <c r="D45" s="209">
        <v>-735043.07000000007</v>
      </c>
      <c r="E45" s="209">
        <v>-2508.6794197952222</v>
      </c>
      <c r="G45" s="209" t="s">
        <v>23</v>
      </c>
      <c r="H45" s="209">
        <v>1867774.15</v>
      </c>
      <c r="I45" s="209">
        <v>6143.9939144736836</v>
      </c>
      <c r="J45" s="209">
        <v>-1089984.3500000006</v>
      </c>
      <c r="K45" s="209">
        <v>-3585.4748355263177</v>
      </c>
      <c r="M45" s="209" t="s">
        <v>23</v>
      </c>
      <c r="N45" s="209">
        <f t="shared" si="0"/>
        <v>24703.200000000186</v>
      </c>
      <c r="O45" s="209">
        <f t="shared" si="1"/>
        <v>314.97315037273347</v>
      </c>
      <c r="P45" s="209">
        <f t="shared" si="2"/>
        <v>354941.28000000049</v>
      </c>
      <c r="Q45" s="209">
        <f t="shared" si="3"/>
        <v>1076.7954157310955</v>
      </c>
    </row>
    <row r="46" spans="1:17" x14ac:dyDescent="0.25">
      <c r="A46" s="209" t="s">
        <v>9</v>
      </c>
      <c r="B46" s="209">
        <v>13471968.370000001</v>
      </c>
      <c r="C46" s="209">
        <v>5532.6358809034909</v>
      </c>
      <c r="D46" s="209">
        <v>8692321.1499999985</v>
      </c>
      <c r="E46" s="209">
        <v>3569.7417453798762</v>
      </c>
      <c r="G46" s="209" t="s">
        <v>9</v>
      </c>
      <c r="H46" s="209">
        <v>13098682.91</v>
      </c>
      <c r="I46" s="209">
        <v>5430.631388888889</v>
      </c>
      <c r="J46" s="209">
        <v>7718740.75</v>
      </c>
      <c r="K46" s="209">
        <v>3200.1412728026535</v>
      </c>
      <c r="M46" s="209" t="s">
        <v>9</v>
      </c>
      <c r="N46" s="209">
        <f t="shared" si="0"/>
        <v>373285.46000000089</v>
      </c>
      <c r="O46" s="209">
        <f t="shared" si="1"/>
        <v>102.00449201460196</v>
      </c>
      <c r="P46" s="209">
        <f t="shared" si="2"/>
        <v>973580.39999999851</v>
      </c>
      <c r="Q46" s="209">
        <f t="shared" si="3"/>
        <v>369.60047257722272</v>
      </c>
    </row>
    <row r="47" spans="1:17" x14ac:dyDescent="0.25">
      <c r="A47" s="209" t="s">
        <v>61</v>
      </c>
      <c r="B47" s="209">
        <v>6026726</v>
      </c>
      <c r="C47" s="209">
        <v>7667.5903307888038</v>
      </c>
      <c r="D47" s="209">
        <v>2759687.709999999</v>
      </c>
      <c r="E47" s="209">
        <v>3511.0530661577595</v>
      </c>
      <c r="G47" s="209" t="s">
        <v>61</v>
      </c>
      <c r="H47" s="209">
        <v>5987581.8100000005</v>
      </c>
      <c r="I47" s="209">
        <v>8146.3698095238105</v>
      </c>
      <c r="J47" s="209">
        <v>2805265.74</v>
      </c>
      <c r="K47" s="209">
        <v>3816.6880816326534</v>
      </c>
      <c r="M47" s="209" t="s">
        <v>61</v>
      </c>
      <c r="N47" s="209">
        <f t="shared" si="0"/>
        <v>39144.189999999478</v>
      </c>
      <c r="O47" s="209">
        <f t="shared" si="1"/>
        <v>-478.77947873500671</v>
      </c>
      <c r="P47" s="209">
        <f t="shared" si="2"/>
        <v>-45578.030000001192</v>
      </c>
      <c r="Q47" s="209">
        <f t="shared" si="3"/>
        <v>-305.63501547489386</v>
      </c>
    </row>
    <row r="48" spans="1:17" x14ac:dyDescent="0.25">
      <c r="A48" s="209" t="s">
        <v>45</v>
      </c>
      <c r="B48" s="209">
        <v>649792.4</v>
      </c>
      <c r="C48" s="209">
        <v>3531.4804347826089</v>
      </c>
      <c r="D48" s="209">
        <v>208004.44000000006</v>
      </c>
      <c r="E48" s="209">
        <v>1130.4589130434786</v>
      </c>
      <c r="G48" s="209" t="s">
        <v>45</v>
      </c>
      <c r="H48" s="209">
        <v>704845.53</v>
      </c>
      <c r="I48" s="209">
        <v>3809.9758378378378</v>
      </c>
      <c r="J48" s="209">
        <v>189759.61</v>
      </c>
      <c r="K48" s="209">
        <v>1025.7276216216214</v>
      </c>
      <c r="M48" s="209" t="s">
        <v>45</v>
      </c>
      <c r="N48" s="209">
        <f t="shared" si="0"/>
        <v>-55053.130000000005</v>
      </c>
      <c r="O48" s="209">
        <f t="shared" si="1"/>
        <v>-278.49540305522896</v>
      </c>
      <c r="P48" s="209">
        <f t="shared" si="2"/>
        <v>18244.830000000075</v>
      </c>
      <c r="Q48" s="209">
        <f t="shared" si="3"/>
        <v>104.73129142185712</v>
      </c>
    </row>
    <row r="49" spans="1:17" x14ac:dyDescent="0.25">
      <c r="A49" s="209" t="s">
        <v>34</v>
      </c>
      <c r="B49" s="209">
        <v>2023842.33</v>
      </c>
      <c r="C49" s="209">
        <v>6077.6045945945953</v>
      </c>
      <c r="D49" s="209">
        <v>-156279.87000000011</v>
      </c>
      <c r="E49" s="209">
        <v>-469.30891891891923</v>
      </c>
      <c r="G49" s="209" t="s">
        <v>34</v>
      </c>
      <c r="H49" s="209">
        <v>2002898.05</v>
      </c>
      <c r="I49" s="209">
        <v>5890.876617647059</v>
      </c>
      <c r="J49" s="209">
        <v>-637335.59000000032</v>
      </c>
      <c r="K49" s="209">
        <v>-1874.5164411764715</v>
      </c>
      <c r="M49" s="209" t="s">
        <v>34</v>
      </c>
      <c r="N49" s="209">
        <f t="shared" si="0"/>
        <v>20944.280000000028</v>
      </c>
      <c r="O49" s="209">
        <f t="shared" si="1"/>
        <v>186.72797694753626</v>
      </c>
      <c r="P49" s="209">
        <f t="shared" si="2"/>
        <v>481055.7200000002</v>
      </c>
      <c r="Q49" s="209">
        <f t="shared" si="3"/>
        <v>1405.2075222575522</v>
      </c>
    </row>
    <row r="50" spans="1:17" x14ac:dyDescent="0.25">
      <c r="A50" s="209" t="s">
        <v>48</v>
      </c>
      <c r="B50" s="209">
        <v>19520581.41</v>
      </c>
      <c r="C50" s="209">
        <v>11661.040268817205</v>
      </c>
      <c r="D50" s="209">
        <v>15130371.179999998</v>
      </c>
      <c r="E50" s="209">
        <v>9038.4535125448019</v>
      </c>
      <c r="G50" s="209" t="s">
        <v>48</v>
      </c>
      <c r="H50" s="209">
        <v>19789094.379999999</v>
      </c>
      <c r="I50" s="209">
        <v>11661.222380671774</v>
      </c>
      <c r="J50" s="209">
        <v>15312974.43</v>
      </c>
      <c r="K50" s="209">
        <v>9023.5559398939295</v>
      </c>
      <c r="M50" s="209" t="s">
        <v>48</v>
      </c>
      <c r="N50" s="209">
        <f t="shared" si="0"/>
        <v>-268512.96999999881</v>
      </c>
      <c r="O50" s="209">
        <f t="shared" si="1"/>
        <v>-0.18211185456857493</v>
      </c>
      <c r="P50" s="209">
        <f t="shared" si="2"/>
        <v>-182603.25000000186</v>
      </c>
      <c r="Q50" s="209">
        <f t="shared" si="3"/>
        <v>14.897572650872462</v>
      </c>
    </row>
    <row r="51" spans="1:17" x14ac:dyDescent="0.25">
      <c r="A51" s="209" t="s">
        <v>46</v>
      </c>
      <c r="B51" s="209">
        <v>3023471.06</v>
      </c>
      <c r="C51" s="209">
        <v>7732.662557544757</v>
      </c>
      <c r="D51" s="209">
        <v>51593.350000000093</v>
      </c>
      <c r="E51" s="209">
        <v>131.95230179028158</v>
      </c>
      <c r="G51" s="209" t="s">
        <v>46</v>
      </c>
      <c r="H51" s="209">
        <v>2070284.17</v>
      </c>
      <c r="I51" s="209">
        <v>5308.4209487179487</v>
      </c>
      <c r="J51" s="209">
        <v>-884214.48000000021</v>
      </c>
      <c r="K51" s="209">
        <v>-2267.216615384616</v>
      </c>
      <c r="M51" s="209" t="s">
        <v>46</v>
      </c>
      <c r="N51" s="209">
        <f t="shared" si="0"/>
        <v>953186.89000000013</v>
      </c>
      <c r="O51" s="209">
        <f t="shared" si="1"/>
        <v>2424.2416088268083</v>
      </c>
      <c r="P51" s="209">
        <f t="shared" si="2"/>
        <v>935807.83000000031</v>
      </c>
      <c r="Q51" s="209">
        <f t="shared" si="3"/>
        <v>2399.1689171748976</v>
      </c>
    </row>
    <row r="52" spans="1:17" x14ac:dyDescent="0.25">
      <c r="A52" s="209" t="s">
        <v>57</v>
      </c>
      <c r="B52" s="209">
        <v>10935065.559999999</v>
      </c>
      <c r="C52" s="209">
        <v>10394.549011406843</v>
      </c>
      <c r="D52" s="209">
        <v>5751414.4799999986</v>
      </c>
      <c r="E52" s="209">
        <v>5467.1240304182493</v>
      </c>
      <c r="G52" s="209" t="s">
        <v>57</v>
      </c>
      <c r="H52" s="209">
        <v>10358562.43</v>
      </c>
      <c r="I52" s="209">
        <v>9653.8326467847146</v>
      </c>
      <c r="J52" s="209">
        <v>5827342.290000001</v>
      </c>
      <c r="K52" s="209">
        <v>5430.887502329917</v>
      </c>
      <c r="M52" s="209" t="s">
        <v>57</v>
      </c>
      <c r="N52" s="209">
        <f t="shared" si="0"/>
        <v>576503.12999999896</v>
      </c>
      <c r="O52" s="209">
        <f t="shared" si="1"/>
        <v>740.71636462212882</v>
      </c>
      <c r="P52" s="209">
        <f t="shared" si="2"/>
        <v>-75927.810000002384</v>
      </c>
      <c r="Q52" s="209">
        <f t="shared" si="3"/>
        <v>36.236528088332307</v>
      </c>
    </row>
    <row r="53" spans="1:17" x14ac:dyDescent="0.25">
      <c r="A53" s="209" t="s">
        <v>49</v>
      </c>
      <c r="B53" s="209">
        <v>142500</v>
      </c>
      <c r="C53" s="209">
        <v>766.12903225806451</v>
      </c>
      <c r="D53" s="209">
        <v>-341679.31000000011</v>
      </c>
      <c r="E53" s="209">
        <v>-1836.9855376344092</v>
      </c>
      <c r="G53" s="209" t="s">
        <v>49</v>
      </c>
      <c r="H53" s="209">
        <v>219892.5</v>
      </c>
      <c r="I53" s="209">
        <v>1195.0679347826087</v>
      </c>
      <c r="J53" s="209">
        <v>-576498.74</v>
      </c>
      <c r="K53" s="209">
        <v>-3133.1453260869566</v>
      </c>
      <c r="M53" s="209" t="s">
        <v>49</v>
      </c>
      <c r="N53" s="209">
        <f t="shared" si="0"/>
        <v>-77392.5</v>
      </c>
      <c r="O53" s="209">
        <f t="shared" si="1"/>
        <v>-428.93890252454423</v>
      </c>
      <c r="P53" s="209">
        <f t="shared" si="2"/>
        <v>234819.42999999988</v>
      </c>
      <c r="Q53" s="209">
        <f t="shared" si="3"/>
        <v>1296.1597884525474</v>
      </c>
    </row>
    <row r="54" spans="1:17" x14ac:dyDescent="0.25">
      <c r="A54" s="209" t="s">
        <v>15</v>
      </c>
      <c r="B54" s="209">
        <v>69546558.280000001</v>
      </c>
      <c r="C54" s="209">
        <v>10797.478385343891</v>
      </c>
      <c r="D54" s="209">
        <v>45122415.250000007</v>
      </c>
      <c r="E54" s="209">
        <v>7005.4984086322011</v>
      </c>
      <c r="G54" s="209" t="s">
        <v>15</v>
      </c>
      <c r="H54" s="209">
        <v>66904253.960000001</v>
      </c>
      <c r="I54" s="209">
        <v>10347.08536343953</v>
      </c>
      <c r="J54" s="209">
        <v>42123403.110000007</v>
      </c>
      <c r="K54" s="209">
        <v>6514.5999242189928</v>
      </c>
      <c r="M54" s="209" t="s">
        <v>15</v>
      </c>
      <c r="N54" s="209">
        <f t="shared" si="0"/>
        <v>2642304.3200000003</v>
      </c>
      <c r="O54" s="209">
        <f t="shared" si="1"/>
        <v>450.39302190436138</v>
      </c>
      <c r="P54" s="209">
        <f t="shared" si="2"/>
        <v>2999012.1400000006</v>
      </c>
      <c r="Q54" s="209">
        <f t="shared" si="3"/>
        <v>490.89848441320828</v>
      </c>
    </row>
    <row r="55" spans="1:17" x14ac:dyDescent="0.25">
      <c r="A55" s="209" t="s">
        <v>24</v>
      </c>
      <c r="B55" s="209">
        <v>3987825.17</v>
      </c>
      <c r="C55" s="209">
        <v>7303.7091025641021</v>
      </c>
      <c r="D55" s="209">
        <v>1841514.0200000005</v>
      </c>
      <c r="E55" s="209">
        <v>3372.7363003663013</v>
      </c>
      <c r="G55" s="209" t="s">
        <v>24</v>
      </c>
      <c r="H55" s="209">
        <v>4041025.6399999997</v>
      </c>
      <c r="I55" s="209">
        <v>7229.0261896243283</v>
      </c>
      <c r="J55" s="209">
        <v>1980846.71</v>
      </c>
      <c r="K55" s="209">
        <v>3543.5540429338103</v>
      </c>
      <c r="M55" s="209" t="s">
        <v>24</v>
      </c>
      <c r="N55" s="209">
        <f t="shared" si="0"/>
        <v>-53200.469999999739</v>
      </c>
      <c r="O55" s="209">
        <f t="shared" si="1"/>
        <v>74.682912939773814</v>
      </c>
      <c r="P55" s="209">
        <f t="shared" si="2"/>
        <v>-139332.68999999948</v>
      </c>
      <c r="Q55" s="209">
        <f t="shared" si="3"/>
        <v>-170.81774256750896</v>
      </c>
    </row>
    <row r="57" spans="1:17" x14ac:dyDescent="0.25">
      <c r="M57" s="209" t="s">
        <v>839</v>
      </c>
      <c r="N57" s="209">
        <f>N7+N10+N11+N13+N16+N17+N18+N19+N25+N26+N27+N28+N29+N37+N40+N41+N44+N45+N46+N47+N49+N51+N52+N54</f>
        <v>36668095.229999982</v>
      </c>
      <c r="O57" s="209">
        <f>O7+O10+O11+O13+O16+O19+O25+O26+O27+O28+O29+O37+O40+O41+O43+O44+O45+O46+O49+O51+O52+O54+O55</f>
        <v>17589.656901128845</v>
      </c>
      <c r="P57" s="209">
        <f>P4+P7+P8+P10+P11+P12+P13+P14+P19+P21+P22+P25+P26+P27+P28+P29+P30+P37+P40+P41+P42+P43+P44+P45+P46+P48+P49+P51+P53+P54</f>
        <v>25194031.869999994</v>
      </c>
      <c r="Q57" s="209">
        <f>Q4+Q7+Q8+Q10+Q11+Q12+Q13+Q14+Q19+Q20+Q21+Q22+Q25+Q26+Q27+Q28+Q29+Q30+Q37+Q40+Q41+Q42+Q43+Q44+Q45+Q46+Q48+Q49+Q50+Q51+Q52+Q53+Q54</f>
        <v>21372.487087237459</v>
      </c>
    </row>
    <row r="58" spans="1:17" x14ac:dyDescent="0.25">
      <c r="M58" s="209" t="s">
        <v>840</v>
      </c>
      <c r="N58" s="209">
        <f>N3+N4+N5+N6+N8+N9+N12+N14+N15+N20+N21+N22+N23+N24+N30+N31+N32+N33+N34+N35+N36+N38+N39+N42+N43+N48+N50+N53+N55</f>
        <v>-12715920.810000002</v>
      </c>
      <c r="O58" s="209">
        <f>O3+O4+O5+O6+O8+O9++O12+O14+O15+O17+O18+O20+O21+O22+O23+O24+O30+O31+O32+O33+O34+O35+O36+O38+O39+O42+O47+O48+O50+O53</f>
        <v>-13959.666257758387</v>
      </c>
      <c r="P58" s="209">
        <f>P3+P5+P6+P9+P15+P16+P17+P18+P20+P23+P24+P31+P32+P33+P34+P35+P36+P38+P39+P47+P50+P52+P55</f>
        <v>-11967920.160000013</v>
      </c>
      <c r="Q58" s="209">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5" sqref="D5"/>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23</v>
      </c>
    </row>
    <row r="6" spans="1:3" ht="15" customHeight="1" x14ac:dyDescent="0.25">
      <c r="C6" s="30"/>
    </row>
    <row r="7" spans="1:3" ht="15" customHeight="1" x14ac:dyDescent="0.25">
      <c r="C7" s="140" t="s">
        <v>198</v>
      </c>
    </row>
    <row r="8" spans="1:3" x14ac:dyDescent="0.2">
      <c r="A8" s="8">
        <v>10</v>
      </c>
      <c r="B8" s="8" t="s">
        <v>236</v>
      </c>
      <c r="C8" s="13">
        <f>HLOOKUP($B$5,'5.4 Tableau de l''endettement'!$C$7:$BA$25,2,0)</f>
        <v>2772531.79</v>
      </c>
    </row>
    <row r="9" spans="1:3" x14ac:dyDescent="0.2">
      <c r="C9" s="13"/>
    </row>
    <row r="10" spans="1:3" x14ac:dyDescent="0.2">
      <c r="A10" s="8">
        <v>20</v>
      </c>
      <c r="B10" s="8" t="s">
        <v>248</v>
      </c>
      <c r="C10" s="13">
        <f>HLOOKUP($B$5,'5.4 Tableau de l''endettement'!$C$7:$BA$25,4,0)</f>
        <v>1672271.6099999999</v>
      </c>
    </row>
    <row r="11" spans="1:3" x14ac:dyDescent="0.2">
      <c r="C11" s="13"/>
    </row>
    <row r="12" spans="1:3" x14ac:dyDescent="0.2">
      <c r="A12" s="8">
        <v>200</v>
      </c>
      <c r="B12" s="8" t="s">
        <v>445</v>
      </c>
      <c r="C12" s="13">
        <f>HLOOKUP($B$5,'5.4 Tableau de l''endettement'!$C$7:$BA$25,6,0)</f>
        <v>41249.660000000003</v>
      </c>
    </row>
    <row r="13" spans="1:3" x14ac:dyDescent="0.2">
      <c r="C13" s="13"/>
    </row>
    <row r="14" spans="1:3" x14ac:dyDescent="0.2">
      <c r="A14" s="8">
        <v>201</v>
      </c>
      <c r="B14" s="8" t="s">
        <v>250</v>
      </c>
      <c r="C14" s="13">
        <f>HLOOKUP($B$5,'5.4 Tableau de l''endettement'!$C$7:$BA$25,8,0)</f>
        <v>19300</v>
      </c>
    </row>
    <row r="15" spans="1:3" x14ac:dyDescent="0.2">
      <c r="C15" s="13"/>
    </row>
    <row r="16" spans="1:3" x14ac:dyDescent="0.2">
      <c r="A16" s="8">
        <v>206</v>
      </c>
      <c r="B16" s="8" t="s">
        <v>253</v>
      </c>
      <c r="C16" s="13">
        <f>HLOOKUP($B$5,'5.4 Tableau de l''endettement'!$C$7:$BA$25,10,0)</f>
        <v>1568065</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1628614.66</v>
      </c>
    </row>
    <row r="22" spans="1:3" ht="15" x14ac:dyDescent="0.25">
      <c r="B22" s="85" t="s">
        <v>443</v>
      </c>
      <c r="C22" s="107">
        <f>HLOOKUP($B$5,'5.4 Tableau de l''endettement'!$C$7:$BA$25,16,0)</f>
        <v>5186.6708917197448</v>
      </c>
    </row>
    <row r="23" spans="1:3" ht="15" x14ac:dyDescent="0.25">
      <c r="B23" s="7"/>
      <c r="C23" s="13"/>
    </row>
    <row r="24" spans="1:3" ht="15" x14ac:dyDescent="0.25">
      <c r="B24" s="136" t="s">
        <v>624</v>
      </c>
      <c r="C24" s="138">
        <f>HLOOKUP($B$5,'5.4 Tableau de l''endettement'!$C$7:$BA$25,18,0)</f>
        <v>-1100260.1800000002</v>
      </c>
    </row>
    <row r="25" spans="1:3" ht="15" x14ac:dyDescent="0.25">
      <c r="B25" s="85" t="s">
        <v>443</v>
      </c>
      <c r="C25" s="107">
        <f>HLOOKUP($B$5,'5.4 Tableau de l''endettement'!$C$7:$BA$25,19,0)</f>
        <v>-3504.0133121019112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D5" sqref="D5"/>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5" sqref="D5"/>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4" t="s">
        <v>629</v>
      </c>
      <c r="B14" s="225"/>
      <c r="C14" s="225"/>
      <c r="D14" s="225"/>
      <c r="E14" s="225"/>
      <c r="F14" s="225"/>
      <c r="G14" s="225"/>
      <c r="H14" s="226"/>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4" t="s">
        <v>641</v>
      </c>
      <c r="B24" s="225"/>
      <c r="C24" s="225"/>
      <c r="D24" s="225"/>
      <c r="E24" s="225"/>
      <c r="F24" s="225"/>
      <c r="G24" s="225"/>
      <c r="H24" s="226"/>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4" t="s">
        <v>648</v>
      </c>
      <c r="B32" s="225"/>
      <c r="C32" s="225"/>
      <c r="D32" s="225"/>
      <c r="E32" s="225"/>
      <c r="F32" s="225"/>
      <c r="G32" s="225"/>
      <c r="H32" s="226"/>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4" t="s">
        <v>658</v>
      </c>
      <c r="B42" s="225"/>
      <c r="C42" s="225"/>
      <c r="D42" s="225"/>
      <c r="E42" s="225"/>
      <c r="F42" s="225"/>
      <c r="G42" s="225"/>
      <c r="H42" s="226"/>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4" t="s">
        <v>668</v>
      </c>
      <c r="B53" s="225"/>
      <c r="C53" s="225"/>
      <c r="D53" s="225"/>
      <c r="E53" s="225"/>
      <c r="F53" s="225"/>
      <c r="G53" s="225"/>
      <c r="H53" s="226"/>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4" t="s">
        <v>676</v>
      </c>
      <c r="B62" s="225"/>
      <c r="C62" s="225"/>
      <c r="D62" s="225"/>
      <c r="E62" s="225"/>
      <c r="F62" s="225"/>
      <c r="G62" s="225"/>
      <c r="H62" s="226"/>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4" t="s">
        <v>685</v>
      </c>
      <c r="B71" s="225"/>
      <c r="C71" s="225"/>
      <c r="D71" s="225"/>
      <c r="E71" s="225"/>
      <c r="F71" s="225"/>
      <c r="G71" s="225"/>
      <c r="H71" s="226"/>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4" t="s">
        <v>697</v>
      </c>
      <c r="B81" s="225"/>
      <c r="C81" s="225"/>
      <c r="D81" s="225"/>
      <c r="E81" s="225"/>
      <c r="F81" s="225"/>
      <c r="G81" s="225"/>
      <c r="H81" s="226"/>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4" t="s">
        <v>704</v>
      </c>
      <c r="B89" s="225"/>
      <c r="C89" s="225"/>
      <c r="D89" s="225"/>
      <c r="E89" s="225"/>
      <c r="F89" s="225"/>
      <c r="G89" s="225"/>
      <c r="H89" s="226"/>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4" t="s">
        <v>712</v>
      </c>
      <c r="B98" s="225"/>
      <c r="C98" s="225"/>
      <c r="D98" s="225"/>
      <c r="E98" s="225"/>
      <c r="F98" s="225"/>
      <c r="G98" s="225"/>
      <c r="H98" s="226"/>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2584544.98</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350070147.77000004</v>
      </c>
      <c r="BE6" s="19">
        <f>'5. Bilan 2023'!BF6</f>
        <v>159811338.44000003</v>
      </c>
      <c r="BF6" s="19">
        <f>'5. Bilan 2023'!BG6</f>
        <v>73055839.350000009</v>
      </c>
      <c r="BG6" s="19">
        <f>'5. Bilan 2023'!BH6</f>
        <v>117202969.98</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5683203.0499999998</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649273111.64999986</v>
      </c>
      <c r="BE9" s="135">
        <f>'5. Bilan 2023'!BF122</f>
        <v>360603444.75</v>
      </c>
      <c r="BF9" s="135">
        <f>'5. Bilan 2023'!BG122</f>
        <v>65409225.380000003</v>
      </c>
      <c r="BG9" s="135">
        <f>'5. Bilan 2023'!BH122</f>
        <v>223260441.51999998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678578.01</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37832584.270000003</v>
      </c>
      <c r="BE10" s="19">
        <f>'5. Bilan 2023'!BF123</f>
        <v>22207179.450000003</v>
      </c>
      <c r="BF10" s="19">
        <f>'5. Bilan 2023'!BG123</f>
        <v>6714531.5799999991</v>
      </c>
      <c r="BG10" s="19">
        <f>'5. Bilan 2023'!BH123</f>
        <v>8910873.2399999984</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270792.87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106185048.03000003</v>
      </c>
      <c r="BE11" s="19">
        <f>'5. Bilan 2023'!BF133</f>
        <v>78328970.630000025</v>
      </c>
      <c r="BF11" s="19">
        <f>'5. Bilan 2023'!BG133</f>
        <v>6643684.2599999998</v>
      </c>
      <c r="BG11" s="19">
        <f>'5. Bilan 2023'!BH133</f>
        <v>21212393.140000004</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4689018.5999999996</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471696034.06999993</v>
      </c>
      <c r="BE13" s="19">
        <f>'5. Bilan 2023'!BF165</f>
        <v>247424808.08000001</v>
      </c>
      <c r="BF13" s="19">
        <f>'5. Bilan 2023'!BG165</f>
        <v>38340198.609999999</v>
      </c>
      <c r="BG13" s="19">
        <f>'5. Bilan 2023'!BH165</f>
        <v>185931027.38000003</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2075213.03</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293214756.93000007</v>
      </c>
      <c r="BE14" s="19">
        <f>'5. Bilan 2023'!BF190</f>
        <v>103472272.33999999</v>
      </c>
      <c r="BF14" s="19">
        <f>'5. Bilan 2023'!BG190</f>
        <v>82282614.670000002</v>
      </c>
      <c r="BG14" s="19">
        <f>'5. Bilan 2023'!BH190</f>
        <v>107459869.91999999</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258088.52000000002</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107817183.69000003</v>
      </c>
      <c r="BE15" s="19">
        <f>'5. Bilan 2023'!BF216</f>
        <v>18519776.409999996</v>
      </c>
      <c r="BF15" s="19">
        <f>'5. Bilan 2023'!BG216</f>
        <v>43032996.629999995</v>
      </c>
      <c r="BG15" s="19">
        <f>'5. Bilan 2023'!BH216</f>
        <v>46264410.649999991</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5"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27" t="s">
        <v>488</v>
      </c>
      <c r="B1" s="227"/>
      <c r="C1" s="227"/>
      <c r="D1" s="227"/>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row>
    <row r="6" spans="1:60"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row>
    <row r="7" spans="1:60" ht="15" thickBot="1" x14ac:dyDescent="0.25">
      <c r="A7" s="161"/>
      <c r="B7" s="162"/>
      <c r="C7" s="161"/>
      <c r="D7" s="163"/>
      <c r="BD7" s="13"/>
      <c r="BE7" s="13"/>
      <c r="BF7" s="13"/>
    </row>
    <row r="8" spans="1:60"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139.34158513558398</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164.99207077429762</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145.80590689623185</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37832584.270000003</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678578.01</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8910873.2399999984</v>
      </c>
    </row>
    <row r="25" spans="1:58" x14ac:dyDescent="0.2">
      <c r="A25" s="158" t="s">
        <v>250</v>
      </c>
      <c r="B25" s="159" t="s">
        <v>221</v>
      </c>
      <c r="C25" s="158">
        <v>201</v>
      </c>
      <c r="D25" s="160">
        <f>'Base de données indicateurs1'!BD11</f>
        <v>106185048.03000003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270792.87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21212393.140000004</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471696034.06999993</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4689018.5999999996</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185931027.38000003</v>
      </c>
    </row>
    <row r="28" spans="1:58" ht="15" thickBot="1" x14ac:dyDescent="0.25">
      <c r="B28" s="165"/>
      <c r="D28" s="13"/>
      <c r="BD28" s="13"/>
      <c r="BE28" s="13"/>
      <c r="BF28" s="13"/>
    </row>
    <row r="29" spans="1:58" ht="15.75" thickBot="1" x14ac:dyDescent="0.3">
      <c r="A29" s="7" t="s">
        <v>517</v>
      </c>
      <c r="B29" s="108"/>
      <c r="C29" s="7"/>
      <c r="D29" s="164">
        <f>SUM(D24:D25,D27)-D26</f>
        <v>615713666.37</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5638389.4799999995</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216054293.75999996</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143.04566290899561</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178.12431561296782</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163.9810127729271</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27" t="s">
        <v>488</v>
      </c>
      <c r="B1" s="227"/>
      <c r="C1" s="227"/>
      <c r="D1" s="227"/>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27" t="s">
        <v>488</v>
      </c>
      <c r="B1" s="227"/>
      <c r="C1" s="227"/>
      <c r="D1" s="227"/>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c r="BI5" s="13"/>
    </row>
    <row r="6" spans="1:61"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c r="BI6" s="13"/>
    </row>
    <row r="7" spans="1:61" ht="15" thickBot="1" x14ac:dyDescent="0.25">
      <c r="A7" s="161"/>
      <c r="B7" s="162"/>
      <c r="C7" s="161"/>
      <c r="D7" s="163"/>
      <c r="BD7" s="13"/>
      <c r="BE7" s="13"/>
      <c r="BF7" s="13"/>
      <c r="BI7" s="13"/>
    </row>
    <row r="8" spans="1:61"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4013.5612475183748</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4297.722704576976</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4354.2912320893374</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27" t="s">
        <v>488</v>
      </c>
      <c r="B2" s="227"/>
      <c r="C2" s="227"/>
      <c r="D2" s="227"/>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107817183.69000003</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258088.52000000002</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46264410.649999991</v>
      </c>
      <c r="BI6" s="13"/>
    </row>
    <row r="7" spans="1:61" ht="15" thickBot="1" x14ac:dyDescent="0.25">
      <c r="A7" s="161"/>
      <c r="B7" s="162"/>
      <c r="C7" s="161"/>
      <c r="D7" s="163"/>
      <c r="BD7" s="13"/>
      <c r="BE7" s="13"/>
      <c r="BF7" s="13"/>
      <c r="BI7" s="13"/>
    </row>
    <row r="8" spans="1:61" ht="15.75" thickBot="1" x14ac:dyDescent="0.3">
      <c r="A8" s="7" t="s">
        <v>553</v>
      </c>
      <c r="B8" s="108"/>
      <c r="C8" s="7"/>
      <c r="D8" s="164">
        <f>D6</f>
        <v>107817183.69000003</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258088.52000000002</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46264410.649999991</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50.211458754948765</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13.742258227889511</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63.603480772203746</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27" t="s">
        <v>488</v>
      </c>
      <c r="B6" s="227"/>
      <c r="C6" s="227"/>
      <c r="D6" s="227"/>
    </row>
    <row r="7" spans="1:58" ht="15" thickBot="1" x14ac:dyDescent="0.25"/>
    <row r="8" spans="1:58" ht="15.75" thickBot="1" x14ac:dyDescent="0.3">
      <c r="A8" s="228" t="s">
        <v>556</v>
      </c>
      <c r="B8" s="229"/>
      <c r="C8" s="229"/>
      <c r="D8" s="230"/>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615713666.37</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5638389.4799999995</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216054293.75999996</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299202963.87999982</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3098658.07</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106057471.53999999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139.34158513558398</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164.99207077429762</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2035.2968821456423</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143.04566290899561</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178.12431561296782</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3210.4524759881956</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4013.5612475183748</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4297.722704576976</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50776.758755023446</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50.211458754948765</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13.742258227889511</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1970.4174406067559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D5" sqref="D5"/>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7"/>
      <c r="B1" s="227"/>
      <c r="C1" s="227"/>
      <c r="D1" s="227"/>
    </row>
    <row r="2" spans="1:8" ht="18" x14ac:dyDescent="0.25">
      <c r="A2" s="234" t="s">
        <v>879</v>
      </c>
      <c r="B2" s="234"/>
      <c r="C2" s="234"/>
      <c r="D2" s="234"/>
      <c r="E2" s="227"/>
      <c r="F2" s="227"/>
      <c r="G2" s="227"/>
      <c r="H2" s="227"/>
    </row>
    <row r="3" spans="1:8" ht="18" x14ac:dyDescent="0.25">
      <c r="A3" s="187"/>
      <c r="B3" s="187"/>
      <c r="C3" s="187"/>
      <c r="D3" s="187"/>
      <c r="E3" s="187"/>
      <c r="F3" s="187"/>
      <c r="G3" s="187"/>
      <c r="H3" s="187"/>
    </row>
    <row r="4" spans="1:8" ht="15" thickBot="1" x14ac:dyDescent="0.25">
      <c r="B4" s="235" t="s">
        <v>774</v>
      </c>
      <c r="C4" s="235"/>
      <c r="D4" s="235"/>
    </row>
    <row r="5" spans="1:8" ht="15.75" thickBot="1" x14ac:dyDescent="0.3">
      <c r="A5" s="29" t="s">
        <v>563</v>
      </c>
      <c r="B5" s="219" t="s">
        <v>23</v>
      </c>
      <c r="C5" s="220"/>
      <c r="D5" s="221"/>
      <c r="F5" s="154"/>
    </row>
    <row r="6" spans="1:8" ht="15.75" thickBot="1" x14ac:dyDescent="0.3">
      <c r="E6" s="7"/>
      <c r="H6" s="161"/>
    </row>
    <row r="7" spans="1:8" ht="15.75" thickBot="1" x14ac:dyDescent="0.3">
      <c r="A7" s="231" t="s">
        <v>556</v>
      </c>
      <c r="B7" s="232"/>
      <c r="C7" s="232"/>
      <c r="D7" s="233"/>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D5" sqref="D5"/>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D5" sqref="D5"/>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D5" sqref="D5"/>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5" sqref="D5"/>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D5" sqref="D5"/>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D5" sqref="D5"/>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D5" sqref="D5"/>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2" t="s">
        <v>736</v>
      </c>
      <c r="C5" s="222"/>
      <c r="D5" s="222"/>
    </row>
    <row r="6" spans="1:5" ht="15.75" thickBot="1" x14ac:dyDescent="0.3">
      <c r="B6" s="219" t="s">
        <v>56</v>
      </c>
      <c r="C6" s="220"/>
      <c r="D6" s="221"/>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D5" sqref="D5"/>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27</v>
      </c>
    </row>
    <row r="8" spans="1:6" ht="20.25" x14ac:dyDescent="0.3">
      <c r="A8" s="114">
        <v>1</v>
      </c>
      <c r="B8" s="114"/>
      <c r="C8" s="114"/>
      <c r="D8" s="114"/>
      <c r="E8" s="114" t="s">
        <v>235</v>
      </c>
      <c r="F8" s="128">
        <f>HLOOKUP($E$5,'Bourgeoisie bilan'!$F$4:$S$229,2,0)</f>
        <v>34691699.149999999</v>
      </c>
    </row>
    <row r="9" spans="1:6" ht="15" x14ac:dyDescent="0.25">
      <c r="A9" s="16"/>
      <c r="B9" s="116">
        <v>10</v>
      </c>
      <c r="C9" s="116"/>
      <c r="D9" s="116"/>
      <c r="E9" s="116" t="s">
        <v>236</v>
      </c>
      <c r="F9" s="117">
        <f>HLOOKUP($E$5,'Bourgeoisie bilan'!$F$4:$S$229,2,0)</f>
        <v>34691699.149999999</v>
      </c>
    </row>
    <row r="10" spans="1:6" ht="15" x14ac:dyDescent="0.25">
      <c r="A10" s="17"/>
      <c r="B10" s="17"/>
      <c r="C10" s="85">
        <v>100</v>
      </c>
      <c r="D10" s="85"/>
      <c r="E10" s="85" t="s">
        <v>237</v>
      </c>
      <c r="F10" s="107">
        <f>HLOOKUP($E$5,'Bourgeoisie bilan'!$F$4:$S$229,2,0)</f>
        <v>34691699.149999999</v>
      </c>
    </row>
    <row r="11" spans="1:6" x14ac:dyDescent="0.2">
      <c r="D11" s="8">
        <v>1000</v>
      </c>
      <c r="E11" s="8" t="s">
        <v>307</v>
      </c>
      <c r="F11" s="13">
        <f>HLOOKUP($E$5,'Bourgeoisie bilan'!$F$4:$S$229,5,0)</f>
        <v>2080.6999999999998</v>
      </c>
    </row>
    <row r="12" spans="1:6" x14ac:dyDescent="0.2">
      <c r="D12" s="8">
        <v>1001</v>
      </c>
      <c r="E12" s="8" t="s">
        <v>308</v>
      </c>
      <c r="F12" s="13">
        <f>HLOOKUP($E$5,'Bourgeoisie bilan'!$F$4:$S$229,6,0)</f>
        <v>9679.7900000000009</v>
      </c>
    </row>
    <row r="13" spans="1:6" x14ac:dyDescent="0.2">
      <c r="D13" s="8">
        <v>1002</v>
      </c>
      <c r="E13" s="8" t="s">
        <v>316</v>
      </c>
      <c r="F13" s="13">
        <f>HLOOKUP($E$5,'Bourgeoisie bilan'!$F$4:$S$229,7,0)</f>
        <v>972497.31</v>
      </c>
    </row>
    <row r="14" spans="1:6" x14ac:dyDescent="0.2">
      <c r="D14" s="8">
        <v>1003</v>
      </c>
      <c r="E14" s="8" t="s">
        <v>309</v>
      </c>
      <c r="F14" s="13">
        <f>HLOOKUP($E$5,'Bourgeoisie bilan'!$F$4:$S$229,8,0)</f>
        <v>0</v>
      </c>
    </row>
    <row r="15" spans="1:6" x14ac:dyDescent="0.2">
      <c r="D15" s="8">
        <v>1004</v>
      </c>
      <c r="E15" s="8" t="s">
        <v>310</v>
      </c>
      <c r="F15" s="13">
        <f>HLOOKUP($E$5,'Bourgeoisie bilan'!$F$4:$S$229,9,0)</f>
        <v>0</v>
      </c>
    </row>
    <row r="16" spans="1:6" x14ac:dyDescent="0.2">
      <c r="D16" s="8">
        <v>1009</v>
      </c>
      <c r="E16" s="8" t="s">
        <v>311</v>
      </c>
      <c r="F16" s="13">
        <f>HLOOKUP($E$5,'Bourgeoisie bilan'!$F$4:$S$229,10,0)</f>
        <v>0</v>
      </c>
    </row>
    <row r="17" spans="1:6" x14ac:dyDescent="0.2">
      <c r="F17" s="13"/>
    </row>
    <row r="18" spans="1:6" ht="15" x14ac:dyDescent="0.25">
      <c r="A18" s="17"/>
      <c r="B18" s="17"/>
      <c r="C18" s="85">
        <v>101</v>
      </c>
      <c r="D18" s="85"/>
      <c r="E18" s="85" t="s">
        <v>238</v>
      </c>
      <c r="F18" s="107">
        <f>HLOOKUP($E$5,'Bourgeoisie bilan'!$F$4:$S$229,12,0)</f>
        <v>4230440.25</v>
      </c>
    </row>
    <row r="19" spans="1:6" x14ac:dyDescent="0.2">
      <c r="D19" s="8">
        <v>1010</v>
      </c>
      <c r="E19" s="8" t="s">
        <v>312</v>
      </c>
      <c r="F19" s="13">
        <f>HLOOKUP($E$5,'Bourgeoisie bilan'!$F$4:$S$229,13,0)</f>
        <v>-9722.75</v>
      </c>
    </row>
    <row r="20" spans="1:6" x14ac:dyDescent="0.2">
      <c r="D20" s="8">
        <v>1011</v>
      </c>
      <c r="E20" s="8" t="s">
        <v>393</v>
      </c>
      <c r="F20" s="13">
        <f>HLOOKUP($E$5,'Bourgeoisie bilan'!$F$4:$S$229,14,0)</f>
        <v>4240163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0</v>
      </c>
    </row>
    <row r="27" spans="1:6" x14ac:dyDescent="0.2">
      <c r="F27" s="13"/>
    </row>
    <row r="28" spans="1:6" ht="15" x14ac:dyDescent="0.25">
      <c r="C28" s="85">
        <v>102</v>
      </c>
      <c r="D28" s="85"/>
      <c r="E28" s="85" t="s">
        <v>239</v>
      </c>
      <c r="F28" s="107">
        <f>HLOOKUP($E$5,'Bourgeoisie bilan'!$F$4:$S$229,22,0)</f>
        <v>0</v>
      </c>
    </row>
    <row r="29" spans="1:6" x14ac:dyDescent="0.2">
      <c r="D29" s="8">
        <v>1020</v>
      </c>
      <c r="E29" s="8" t="s">
        <v>320</v>
      </c>
      <c r="F29" s="13">
        <f>HLOOKUP($E$5,'Bourgeoisie bilan'!$F$4:$S$229,23,0)</f>
        <v>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41194.050000000003</v>
      </c>
    </row>
    <row r="35" spans="3:6" x14ac:dyDescent="0.2">
      <c r="D35" s="8">
        <v>1040</v>
      </c>
      <c r="E35" s="8" t="s">
        <v>60</v>
      </c>
      <c r="F35" s="13">
        <f>HLOOKUP($E$5,'Bourgeoisie bilan'!$F$4:$S$229,29,0)</f>
        <v>0</v>
      </c>
    </row>
    <row r="36" spans="3:6" x14ac:dyDescent="0.2">
      <c r="D36" s="8">
        <v>1041</v>
      </c>
      <c r="E36" s="8" t="s">
        <v>324</v>
      </c>
      <c r="F36" s="13">
        <f>HLOOKUP($E$5,'Bourgeoisie bilan'!$F$4:$S$229,30,0)</f>
        <v>37301.300000000003</v>
      </c>
    </row>
    <row r="37" spans="3:6" x14ac:dyDescent="0.2">
      <c r="D37" s="8">
        <v>1042</v>
      </c>
      <c r="E37" s="8" t="s">
        <v>325</v>
      </c>
      <c r="F37" s="13">
        <f>HLOOKUP($E$5,'Bourgeoisie bilan'!$F$4:$S$229,31,0)</f>
        <v>0</v>
      </c>
    </row>
    <row r="38" spans="3:6" x14ac:dyDescent="0.2">
      <c r="D38" s="8">
        <v>1043</v>
      </c>
      <c r="E38" s="8" t="s">
        <v>326</v>
      </c>
      <c r="F38" s="13">
        <f>HLOOKUP($E$5,'Bourgeoisie bilan'!$F$4:$S$229,32,0)</f>
        <v>0</v>
      </c>
    </row>
    <row r="39" spans="3:6" x14ac:dyDescent="0.2">
      <c r="D39" s="8">
        <v>1044</v>
      </c>
      <c r="E39" s="8" t="s">
        <v>327</v>
      </c>
      <c r="F39" s="13">
        <f>HLOOKUP($E$5,'Bourgeoisie bilan'!$F$4:$S$229,33,0)</f>
        <v>0</v>
      </c>
    </row>
    <row r="40" spans="3:6" x14ac:dyDescent="0.2">
      <c r="D40" s="8">
        <v>1045</v>
      </c>
      <c r="E40" s="8" t="s">
        <v>328</v>
      </c>
      <c r="F40" s="13">
        <f>HLOOKUP($E$5,'Bourgeoisie bilan'!$F$4:$S$229,34,0)</f>
        <v>0</v>
      </c>
    </row>
    <row r="41" spans="3:6" x14ac:dyDescent="0.2">
      <c r="D41" s="8">
        <v>1046</v>
      </c>
      <c r="E41" s="8" t="s">
        <v>329</v>
      </c>
      <c r="F41" s="13">
        <f>HLOOKUP($E$5,'Bourgeoisie bilan'!$F$4:$S$229,35,0)</f>
        <v>0</v>
      </c>
    </row>
    <row r="42" spans="3:6" x14ac:dyDescent="0.2">
      <c r="D42" s="8">
        <v>1049</v>
      </c>
      <c r="E42" s="8" t="s">
        <v>330</v>
      </c>
      <c r="F42" s="13">
        <f>HLOOKUP($E$5,'Bourgeoisie bilan'!$F$4:$S$229,36,0)</f>
        <v>3892.75</v>
      </c>
    </row>
    <row r="43" spans="3:6" x14ac:dyDescent="0.2">
      <c r="F43" s="13"/>
    </row>
    <row r="44" spans="3:6" ht="15" x14ac:dyDescent="0.25">
      <c r="C44" s="85">
        <v>106</v>
      </c>
      <c r="D44" s="85"/>
      <c r="E44" s="85" t="s">
        <v>241</v>
      </c>
      <c r="F44" s="107">
        <f>HLOOKUP($E$5,'Bourgeoisie bilan'!$F$4:$S$229,38,0)</f>
        <v>0</v>
      </c>
    </row>
    <row r="45" spans="3:6" x14ac:dyDescent="0.2">
      <c r="D45" s="8">
        <v>1060</v>
      </c>
      <c r="E45" s="8" t="s">
        <v>331</v>
      </c>
      <c r="F45" s="13">
        <f>HLOOKUP($E$5,'Bourgeoisie bilan'!$F$4:$S$229,39,0)</f>
        <v>0</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5400</v>
      </c>
    </row>
    <row r="52" spans="3:6" x14ac:dyDescent="0.2">
      <c r="D52" s="8">
        <v>1070</v>
      </c>
      <c r="E52" s="8" t="s">
        <v>336</v>
      </c>
      <c r="F52" s="13">
        <f>HLOOKUP($E$5,'Bourgeoisie bilan'!$F$4:$S$229,46,0)</f>
        <v>5400</v>
      </c>
    </row>
    <row r="53" spans="3:6" x14ac:dyDescent="0.2">
      <c r="D53" s="8">
        <v>1071</v>
      </c>
      <c r="E53" s="8" t="s">
        <v>337</v>
      </c>
      <c r="F53" s="13">
        <f>HLOOKUP($E$5,'Bourgeoisie bilan'!$F$4:$S$229,47,0)</f>
        <v>0</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26926350</v>
      </c>
    </row>
    <row r="58" spans="3:6" x14ac:dyDescent="0.2">
      <c r="D58" s="8">
        <v>1080</v>
      </c>
      <c r="E58" s="8" t="s">
        <v>341</v>
      </c>
      <c r="F58" s="13">
        <f>HLOOKUP($E$5,'Bourgeoisie bilan'!$F$4:$S$229,52,0)</f>
        <v>21626550</v>
      </c>
    </row>
    <row r="59" spans="3:6" x14ac:dyDescent="0.2">
      <c r="D59" s="8">
        <v>1084</v>
      </c>
      <c r="E59" s="8" t="s">
        <v>342</v>
      </c>
      <c r="F59" s="13">
        <f>HLOOKUP($E$5,'Bourgeoisie bilan'!$F$4:$S$229,53,0)</f>
        <v>5299800</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0</v>
      </c>
    </row>
    <row r="63" spans="3:6" x14ac:dyDescent="0.2">
      <c r="D63" s="8">
        <v>1089</v>
      </c>
      <c r="E63" s="8" t="s">
        <v>346</v>
      </c>
      <c r="F63" s="13">
        <f>HLOOKUP($E$5,'Bourgeoisie bilan'!$F$4:$S$229,57,0)</f>
        <v>0</v>
      </c>
    </row>
    <row r="64" spans="3:6" x14ac:dyDescent="0.2">
      <c r="F64" s="13"/>
    </row>
    <row r="65" spans="2:6" ht="15" x14ac:dyDescent="0.25">
      <c r="C65" s="85">
        <v>109</v>
      </c>
      <c r="D65" s="85"/>
      <c r="E65" s="85" t="s">
        <v>347</v>
      </c>
      <c r="F65" s="107">
        <f>HLOOKUP($E$5,'Bourgeoisie bilan'!$F$4:$S$229,59,0)</f>
        <v>0</v>
      </c>
    </row>
    <row r="66" spans="2:6" x14ac:dyDescent="0.2">
      <c r="D66" s="8">
        <v>1090</v>
      </c>
      <c r="E66" s="8" t="s">
        <v>347</v>
      </c>
      <c r="F66" s="13">
        <f>HLOOKUP($E$5,'Bourgeoisie bilan'!$F$4:$S$229,60,0)</f>
        <v>0</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2504057.0499999998</v>
      </c>
    </row>
    <row r="72" spans="2:6" ht="15" x14ac:dyDescent="0.25">
      <c r="C72" s="85">
        <v>140</v>
      </c>
      <c r="D72" s="85"/>
      <c r="E72" s="85" t="s">
        <v>245</v>
      </c>
      <c r="F72" s="107">
        <f>HLOOKUP($E$5,'Bourgeoisie bilan'!$F$4:$S$229,66,0)</f>
        <v>2444054.0499999998</v>
      </c>
    </row>
    <row r="73" spans="2:6" x14ac:dyDescent="0.2">
      <c r="D73" s="8">
        <v>1400</v>
      </c>
      <c r="E73" s="8" t="s">
        <v>351</v>
      </c>
      <c r="F73" s="13">
        <f>HLOOKUP($E$5,'Bourgeoisie bilan'!$F$4:$S$229,67,0)</f>
        <v>764001</v>
      </c>
    </row>
    <row r="74" spans="2:6" x14ac:dyDescent="0.2">
      <c r="D74" s="8">
        <v>1401</v>
      </c>
      <c r="E74" s="8" t="s">
        <v>352</v>
      </c>
      <c r="F74" s="13">
        <f>HLOOKUP($E$5,'Bourgeoisie bilan'!$F$4:$S$229,68,0)</f>
        <v>1</v>
      </c>
    </row>
    <row r="75" spans="2:6" x14ac:dyDescent="0.2">
      <c r="D75" s="8">
        <v>1402</v>
      </c>
      <c r="E75" s="8" t="s">
        <v>353</v>
      </c>
      <c r="F75" s="13">
        <f>HLOOKUP($E$5,'Bourgeoisie bilan'!$F$4:$S$229,69,0)</f>
        <v>0</v>
      </c>
    </row>
    <row r="76" spans="2:6" x14ac:dyDescent="0.2">
      <c r="D76" s="8">
        <v>1403</v>
      </c>
      <c r="E76" s="8" t="s">
        <v>354</v>
      </c>
      <c r="F76" s="13">
        <f>HLOOKUP($E$5,'Bourgeoisie bilan'!$F$4:$S$229,70,0)</f>
        <v>0</v>
      </c>
    </row>
    <row r="77" spans="2:6" x14ac:dyDescent="0.2">
      <c r="D77" s="8">
        <v>1404</v>
      </c>
      <c r="E77" s="8" t="s">
        <v>355</v>
      </c>
      <c r="F77" s="13">
        <f>HLOOKUP($E$5,'Bourgeoisie bilan'!$F$4:$S$229,71,0)</f>
        <v>407872.05</v>
      </c>
    </row>
    <row r="78" spans="2:6" x14ac:dyDescent="0.2">
      <c r="D78" s="8">
        <v>1405</v>
      </c>
      <c r="E78" s="8" t="s">
        <v>356</v>
      </c>
      <c r="F78" s="13">
        <f>HLOOKUP($E$5,'Bourgeoisie bilan'!$F$4:$S$229,72,0)</f>
        <v>1272180</v>
      </c>
    </row>
    <row r="79" spans="2:6" x14ac:dyDescent="0.2">
      <c r="D79" s="8">
        <v>1406</v>
      </c>
      <c r="E79" s="8" t="s">
        <v>357</v>
      </c>
      <c r="F79" s="13">
        <f>HLOOKUP($E$5,'Bourgeoisie bilan'!$F$4:$S$229,73,0)</f>
        <v>0</v>
      </c>
    </row>
    <row r="80" spans="2:6" x14ac:dyDescent="0.2">
      <c r="D80" s="8">
        <v>1407</v>
      </c>
      <c r="E80" s="8" t="s">
        <v>358</v>
      </c>
      <c r="F80" s="13">
        <f>HLOOKUP($E$5,'Bourgeoisie bilan'!$F$4:$S$229,74,0)</f>
        <v>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0</v>
      </c>
    </row>
    <row r="90" spans="3:6" x14ac:dyDescent="0.2">
      <c r="D90" s="8">
        <v>1440</v>
      </c>
      <c r="E90" s="8" t="s">
        <v>362</v>
      </c>
      <c r="F90" s="13">
        <f>HLOOKUP($E$5,'Bourgeoisie bilan'!$F$4:$S$229,83,0)</f>
        <v>0</v>
      </c>
    </row>
    <row r="91" spans="3:6" x14ac:dyDescent="0.2">
      <c r="D91" s="8">
        <v>1441</v>
      </c>
      <c r="E91" s="8" t="s">
        <v>364</v>
      </c>
      <c r="F91" s="13">
        <f>HLOOKUP($E$5,'Bourgeoisie bilan'!$F$4:$S$229,85,0)</f>
        <v>0</v>
      </c>
    </row>
    <row r="92" spans="3:6" x14ac:dyDescent="0.2">
      <c r="D92" s="8">
        <v>1442</v>
      </c>
      <c r="E92" s="8" t="s">
        <v>363</v>
      </c>
      <c r="F92" s="13">
        <f>HLOOKUP($E$5,'Bourgeoisie bilan'!$F$4:$S$229,86,0)</f>
        <v>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60003</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0</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34691699.149999999</v>
      </c>
    </row>
    <row r="125" spans="1:6" ht="15" x14ac:dyDescent="0.25">
      <c r="A125" s="7"/>
      <c r="B125" s="121">
        <v>20</v>
      </c>
      <c r="C125" s="121"/>
      <c r="D125" s="121"/>
      <c r="E125" s="121" t="s">
        <v>248</v>
      </c>
      <c r="F125" s="122">
        <f>HLOOKUP($E$5,'Bourgeoisie bilan'!$F$4:$S$229,119,0)</f>
        <v>4461676.2799999993</v>
      </c>
    </row>
    <row r="126" spans="1:6" ht="15" x14ac:dyDescent="0.25">
      <c r="C126" s="123">
        <v>200</v>
      </c>
      <c r="D126" s="123"/>
      <c r="E126" s="123" t="s">
        <v>249</v>
      </c>
      <c r="F126" s="124">
        <f>HLOOKUP($E$5,'Bourgeoisie bilan'!$F$4:$S$229,120,0)</f>
        <v>170438.7</v>
      </c>
    </row>
    <row r="127" spans="1:6" x14ac:dyDescent="0.2">
      <c r="D127" s="8">
        <v>2000</v>
      </c>
      <c r="E127" s="8" t="s">
        <v>392</v>
      </c>
      <c r="F127" s="13">
        <f>HLOOKUP($E$5,'Bourgeoisie bilan'!$F$4:$S$229,121,0)</f>
        <v>165088.70000000001</v>
      </c>
    </row>
    <row r="128" spans="1:6" x14ac:dyDescent="0.2">
      <c r="D128" s="8">
        <v>2001</v>
      </c>
      <c r="E128" s="8" t="s">
        <v>393</v>
      </c>
      <c r="F128" s="13">
        <f>HLOOKUP($E$5,'Bourgeoisie bilan'!$F$4:$S$229,122,0)</f>
        <v>0</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338937.57999999996</v>
      </c>
    </row>
    <row r="147" spans="3:6" x14ac:dyDescent="0.2">
      <c r="D147" s="8">
        <v>2040</v>
      </c>
      <c r="E147" s="8" t="s">
        <v>60</v>
      </c>
      <c r="F147" s="13">
        <f>HLOOKUP($E$5,'Bourgeoisie bilan'!$F$4:$S$229,141,0)</f>
        <v>13378.2</v>
      </c>
    </row>
    <row r="148" spans="3:6" x14ac:dyDescent="0.2">
      <c r="D148" s="8">
        <v>2041</v>
      </c>
      <c r="E148" s="8" t="s">
        <v>273</v>
      </c>
      <c r="F148" s="13">
        <f>HLOOKUP($E$5,'Bourgeoisie bilan'!$F$4:$S$229,142,0)</f>
        <v>121767.95</v>
      </c>
    </row>
    <row r="149" spans="3:6" x14ac:dyDescent="0.2">
      <c r="D149" s="8">
        <v>2042</v>
      </c>
      <c r="E149" s="8" t="s">
        <v>325</v>
      </c>
      <c r="F149" s="13">
        <f>HLOOKUP($E$5,'Bourgeoisie bilan'!$F$4:$S$229,143,0)</f>
        <v>0</v>
      </c>
    </row>
    <row r="150" spans="3:6" x14ac:dyDescent="0.2">
      <c r="D150" s="8">
        <v>2043</v>
      </c>
      <c r="E150" s="8" t="s">
        <v>326</v>
      </c>
      <c r="F150" s="13">
        <f>HLOOKUP($E$5,'Bourgeoisie bilan'!$F$4:$S$229,144,0)</f>
        <v>0</v>
      </c>
    </row>
    <row r="151" spans="3:6" x14ac:dyDescent="0.2">
      <c r="D151" s="8">
        <v>2044</v>
      </c>
      <c r="E151" s="8" t="s">
        <v>406</v>
      </c>
      <c r="F151" s="13">
        <f>HLOOKUP($E$5,'Bourgeoisie bilan'!$F$4:$S$229,145,0)</f>
        <v>0</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203791.43</v>
      </c>
    </row>
    <row r="155" spans="3:6" x14ac:dyDescent="0.2">
      <c r="F155" s="13"/>
    </row>
    <row r="156" spans="3:6" ht="15" x14ac:dyDescent="0.25">
      <c r="C156" s="123">
        <v>205</v>
      </c>
      <c r="D156" s="123"/>
      <c r="E156" s="123" t="s">
        <v>252</v>
      </c>
      <c r="F156" s="124">
        <f>HLOOKUP($E$5,'Bourgeoisie bilan'!$F$4:$S$229,150,0)</f>
        <v>0</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0</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3182300</v>
      </c>
    </row>
    <row r="169" spans="3:6" x14ac:dyDescent="0.2">
      <c r="D169" s="8">
        <v>2060</v>
      </c>
      <c r="E169" s="8" t="s">
        <v>419</v>
      </c>
      <c r="F169" s="13">
        <f>HLOOKUP($E$5,'Bourgeoisie bilan'!$F$4:$S$229,163,0)</f>
        <v>3182300</v>
      </c>
    </row>
    <row r="170" spans="3:6" x14ac:dyDescent="0.2">
      <c r="D170" s="8">
        <v>2062</v>
      </c>
      <c r="E170" s="8" t="s">
        <v>420</v>
      </c>
      <c r="F170" s="13">
        <f>HLOOKUP($E$5,'Bourgeoisie bilan'!$F$4:$S$229,164,0)</f>
        <v>0</v>
      </c>
    </row>
    <row r="171" spans="3:6" x14ac:dyDescent="0.2">
      <c r="D171" s="8">
        <v>2063</v>
      </c>
      <c r="E171" s="8" t="s">
        <v>421</v>
      </c>
      <c r="F171" s="13">
        <f>HLOOKUP($E$5,'Bourgeoisie bilan'!$F$4:$S$229,165,0)</f>
        <v>0</v>
      </c>
    </row>
    <row r="172" spans="3:6" x14ac:dyDescent="0.2">
      <c r="D172" s="8">
        <v>2064</v>
      </c>
      <c r="E172" s="8" t="s">
        <v>442</v>
      </c>
      <c r="F172" s="13">
        <f>HLOOKUP($E$5,'Bourgeoisie bilan'!$F$4:$S$229,166,0)</f>
        <v>0</v>
      </c>
    </row>
    <row r="173" spans="3:6" x14ac:dyDescent="0.2">
      <c r="D173" s="8">
        <v>2067</v>
      </c>
      <c r="E173" s="8" t="s">
        <v>423</v>
      </c>
      <c r="F173" s="13">
        <f>HLOOKUP($E$5,'Bourgeoisie bilan'!$F$4:$S$229,167,0)</f>
        <v>0</v>
      </c>
    </row>
    <row r="174" spans="3:6" x14ac:dyDescent="0.2">
      <c r="D174" s="8">
        <v>2069</v>
      </c>
      <c r="E174" s="8" t="s">
        <v>424</v>
      </c>
      <c r="F174" s="13">
        <f>HLOOKUP($E$5,'Bourgeoisie bilan'!$F$4:$S$229,168,0)</f>
        <v>0</v>
      </c>
    </row>
    <row r="175" spans="3:6" x14ac:dyDescent="0.2">
      <c r="F175" s="13"/>
    </row>
    <row r="176" spans="3:6" ht="15" x14ac:dyDescent="0.25">
      <c r="C176" s="123">
        <v>208</v>
      </c>
      <c r="D176" s="123"/>
      <c r="E176" s="123" t="s">
        <v>254</v>
      </c>
      <c r="F176" s="124">
        <f>HLOOKUP($E$5,'Bourgeoisie bilan'!$F$4:$S$229,170,0)</f>
        <v>770000</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0</v>
      </c>
    </row>
    <row r="181" spans="3:6" x14ac:dyDescent="0.2">
      <c r="D181" s="8">
        <v>2085</v>
      </c>
      <c r="E181" s="8" t="s">
        <v>430</v>
      </c>
      <c r="F181" s="13">
        <f>HLOOKUP($E$5,'Bourgeoisie bilan'!$F$4:$S$229,175,0)</f>
        <v>770000</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0</v>
      </c>
    </row>
    <row r="188" spans="3:6" x14ac:dyDescent="0.2">
      <c r="D188" s="8">
        <v>2090</v>
      </c>
      <c r="E188" s="8" t="s">
        <v>255</v>
      </c>
      <c r="F188" s="13">
        <f>HLOOKUP($E$5,'Bourgeoisie bilan'!$F$4:$S$229,182,0)</f>
        <v>0</v>
      </c>
    </row>
    <row r="189" spans="3:6" x14ac:dyDescent="0.2">
      <c r="D189" s="8">
        <v>2091</v>
      </c>
      <c r="E189" s="8" t="s">
        <v>434</v>
      </c>
      <c r="F189" s="13">
        <f>HLOOKUP($E$5,'Bourgeoisie bilan'!$F$4:$S$229,183,0)</f>
        <v>0</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3">
        <f>HLOOKUP($E$5,'Bourgeoisie bilan'!$F$4:$S$229,187,0)</f>
        <v>30230022.870000001</v>
      </c>
    </row>
    <row r="194" spans="2:6" ht="15" x14ac:dyDescent="0.25">
      <c r="C194" s="123">
        <v>290</v>
      </c>
      <c r="D194" s="123"/>
      <c r="E194" s="123" t="s">
        <v>257</v>
      </c>
      <c r="F194" s="124">
        <f>HLOOKUP($E$5,'Bourgeoisie bilan'!$F$4:$S$229,188,0)</f>
        <v>3065881.18</v>
      </c>
    </row>
    <row r="195" spans="2:6" x14ac:dyDescent="0.2">
      <c r="D195" s="8">
        <v>2900</v>
      </c>
      <c r="E195" s="8" t="s">
        <v>257</v>
      </c>
      <c r="F195" s="13">
        <f>HLOOKUP($E$5,'Bourgeoisie bilan'!$F$4:$S$229,189,0)</f>
        <v>3065881.18</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0</v>
      </c>
    </row>
    <row r="202" spans="2:6" x14ac:dyDescent="0.2">
      <c r="D202" s="8">
        <v>2920</v>
      </c>
      <c r="E202" s="8" t="s">
        <v>259</v>
      </c>
      <c r="F202" s="13">
        <f>HLOOKUP($E$5,'Bourgeoisie bilan'!$F$4:$S$229,196,0)</f>
        <v>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10000</v>
      </c>
    </row>
    <row r="208" spans="2:6" x14ac:dyDescent="0.2">
      <c r="D208" s="8">
        <v>2940</v>
      </c>
      <c r="E208" s="8" t="s">
        <v>261</v>
      </c>
      <c r="F208" s="13">
        <f>HLOOKUP($E$5,'Bourgeoisie bilan'!$F$4:$S$229,202,0)</f>
        <v>10000</v>
      </c>
    </row>
    <row r="209" spans="3:6" x14ac:dyDescent="0.2">
      <c r="F209" s="13"/>
    </row>
    <row r="210" spans="3:6" ht="15" x14ac:dyDescent="0.25">
      <c r="C210" s="123">
        <v>295</v>
      </c>
      <c r="D210" s="123"/>
      <c r="E210" s="123" t="s">
        <v>262</v>
      </c>
      <c r="F210" s="124">
        <f>HLOOKUP($E$5,'Bourgeoisie bilan'!$F$4:$S$229,204,0)</f>
        <v>0</v>
      </c>
    </row>
    <row r="211" spans="3:6" x14ac:dyDescent="0.2">
      <c r="D211" s="8">
        <v>2950</v>
      </c>
      <c r="E211" s="8" t="s">
        <v>262</v>
      </c>
      <c r="F211" s="13">
        <f>HLOOKUP($E$5,'Bourgeoisie bilan'!$F$4:$S$229,205,0)</f>
        <v>0</v>
      </c>
    </row>
    <row r="212" spans="3:6" x14ac:dyDescent="0.2">
      <c r="F212" s="13"/>
    </row>
    <row r="213" spans="3:6" ht="15" x14ac:dyDescent="0.25">
      <c r="C213" s="123">
        <v>296</v>
      </c>
      <c r="D213" s="123"/>
      <c r="E213" s="123" t="s">
        <v>263</v>
      </c>
      <c r="F213" s="124">
        <f>HLOOKUP($E$5,'Bourgeoisie bilan'!$F$4:$S$229,207,0)</f>
        <v>23553589</v>
      </c>
    </row>
    <row r="214" spans="3:6" x14ac:dyDescent="0.2">
      <c r="D214" s="8">
        <v>2960</v>
      </c>
      <c r="E214" s="8" t="s">
        <v>263</v>
      </c>
      <c r="F214" s="13">
        <f>HLOOKUP($E$5,'Bourgeoisie bilan'!$F$4:$S$229,208,0)</f>
        <v>23553589</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3600552.69</v>
      </c>
    </row>
    <row r="220" spans="3:6" x14ac:dyDescent="0.2">
      <c r="D220" s="8">
        <v>2990</v>
      </c>
      <c r="E220" s="8" t="s">
        <v>438</v>
      </c>
      <c r="F220" s="13">
        <f>HLOOKUP($E$5,'Bourgeoisie bilan'!$F$4:$S$229,214,0)</f>
        <v>1575.32</v>
      </c>
    </row>
    <row r="221" spans="3:6" x14ac:dyDescent="0.2">
      <c r="D221" s="8">
        <v>2999</v>
      </c>
      <c r="E221" s="8" t="s">
        <v>815</v>
      </c>
      <c r="F221" s="13">
        <f>HLOOKUP($E$5,'Bourgeoisie bilan'!$F$4:$S$229,215,0)</f>
        <v>3598977.37</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1575.32</v>
      </c>
    </row>
    <row r="226" spans="4:6" x14ac:dyDescent="0.2">
      <c r="F226" s="13"/>
    </row>
    <row r="227" spans="4:6" ht="15" x14ac:dyDescent="0.25">
      <c r="E227" s="7" t="s">
        <v>576</v>
      </c>
      <c r="F227" s="13">
        <f>HLOOKUP($E$5,'Bourgeoisie bilan'!$F$4:$S$229,221,0)</f>
        <v>1575.32</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5" sqref="D5"/>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tabSelected="1" workbookViewId="0"/>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64</v>
      </c>
    </row>
    <row r="8" spans="1:5" ht="20.25" x14ac:dyDescent="0.3">
      <c r="A8" s="141">
        <v>5</v>
      </c>
      <c r="B8" s="141"/>
      <c r="C8" s="141"/>
      <c r="D8" s="141" t="s">
        <v>189</v>
      </c>
      <c r="E8" s="146">
        <f>HLOOKUP($D$5,'Bourgeoisie investissement'!$E$4:$R$185,2,0)</f>
        <v>522959.3</v>
      </c>
    </row>
    <row r="9" spans="1:5" ht="15" x14ac:dyDescent="0.25">
      <c r="A9" s="16"/>
      <c r="B9" s="85">
        <v>50</v>
      </c>
      <c r="C9" s="85"/>
      <c r="D9" s="85" t="s">
        <v>448</v>
      </c>
      <c r="E9" s="107">
        <f>HLOOKUP($D$5,'Bourgeoisie investissement'!$E$4:$R$185,3,0)</f>
        <v>522959.3</v>
      </c>
    </row>
    <row r="10" spans="1:5" x14ac:dyDescent="0.2">
      <c r="C10" s="8">
        <v>500</v>
      </c>
      <c r="D10" s="8" t="s">
        <v>450</v>
      </c>
      <c r="E10" s="18">
        <f>HLOOKUP($D$5,'Bourgeoisie investissement'!$E$4:$R$185,4,0)</f>
        <v>0</v>
      </c>
    </row>
    <row r="11" spans="1:5" x14ac:dyDescent="0.2">
      <c r="C11" s="8">
        <v>501</v>
      </c>
      <c r="D11" s="8" t="s">
        <v>451</v>
      </c>
      <c r="E11" s="18">
        <f>HLOOKUP($D$5,'Bourgeoisie investissement'!$E$4:$R$185,5,0)</f>
        <v>38360</v>
      </c>
    </row>
    <row r="12" spans="1:5" x14ac:dyDescent="0.2">
      <c r="C12" s="8">
        <v>502</v>
      </c>
      <c r="D12" s="8" t="s">
        <v>452</v>
      </c>
      <c r="E12" s="18">
        <f>HLOOKUP($D$5,'Bourgeoisie investissement'!$E$4:$R$185,6,0)</f>
        <v>0</v>
      </c>
    </row>
    <row r="13" spans="1:5" x14ac:dyDescent="0.2">
      <c r="C13" s="8">
        <v>503</v>
      </c>
      <c r="D13" s="8" t="s">
        <v>453</v>
      </c>
      <c r="E13" s="18">
        <f>HLOOKUP($D$5,'Bourgeoisie investissement'!$E$4:$R$185,7,0)</f>
        <v>2907.7</v>
      </c>
    </row>
    <row r="14" spans="1:5" x14ac:dyDescent="0.2">
      <c r="C14" s="8">
        <v>504</v>
      </c>
      <c r="D14" s="8" t="s">
        <v>454</v>
      </c>
      <c r="E14" s="18">
        <f>HLOOKUP($D$5,'Bourgeoisie investissement'!$E$4:$R$185,8,0)</f>
        <v>481691.6</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42353</v>
      </c>
    </row>
    <row r="87" spans="1:5" x14ac:dyDescent="0.2">
      <c r="C87" s="8">
        <v>590</v>
      </c>
      <c r="D87" s="8" t="s">
        <v>474</v>
      </c>
      <c r="E87" s="18">
        <f>HLOOKUP($D$5,'Bourgeoisie investissement'!$E$4:$R$185,81,0)</f>
        <v>42353</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42353</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42353</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33532</v>
      </c>
    </row>
    <row r="120" spans="2:5" x14ac:dyDescent="0.2">
      <c r="C120" s="8">
        <v>632</v>
      </c>
      <c r="D120" s="8" t="s">
        <v>462</v>
      </c>
      <c r="E120" s="18">
        <f>HLOOKUP($D$5,'Bourgeoisie investissement'!$E$4:$R$185,114,0)</f>
        <v>8821</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522959.3</v>
      </c>
    </row>
    <row r="182" spans="2:5" x14ac:dyDescent="0.2">
      <c r="C182" s="8">
        <v>690</v>
      </c>
      <c r="D182" s="8" t="s">
        <v>487</v>
      </c>
      <c r="E182" s="18">
        <f>HLOOKUP($D$5,'Bourgeoisie investissement'!$E$4:$R$185,176,0)</f>
        <v>522959.3</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480606.3</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AF5" sqref="AF5"/>
      <selection pane="topRight" activeCell="AF5" sqref="AF5"/>
      <selection pane="bottomLeft" activeCell="AF5" sqref="AF5"/>
      <selection pane="bottomRight" activeCell="AF5" sqref="AF5"/>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AF5" sqref="AF5"/>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AF5" sqref="AF5"/>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AF5" sqref="AF5"/>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AF5" sqref="AF5"/>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A3" sqref="A3"/>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2024-09-11T06:39:14Z</cp:lastPrinted>
  <dcterms:created xsi:type="dcterms:W3CDTF">2015-10-26T07:38:03Z</dcterms:created>
  <dcterms:modified xsi:type="dcterms:W3CDTF">2024-09-18T12:16:23Z</dcterms:modified>
</cp:coreProperties>
</file>